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58387\Box\c27357_10_校内\R8\１４部活動\０８射撃部\★専門委員長\04新人戦\"/>
    </mc:Choice>
  </mc:AlternateContent>
  <xr:revisionPtr revIDLastSave="0" documentId="13_ncr:1_{9B312B6D-59EF-4C62-8227-BFBA250C434C}" xr6:coauthVersionLast="47" xr6:coauthVersionMax="47" xr10:uidLastSave="{00000000-0000-0000-0000-000000000000}"/>
  <bookViews>
    <workbookView xWindow="-120" yWindow="-120" windowWidth="29040" windowHeight="15720" tabRatio="787" activeTab="3" xr2:uid="{00000000-000D-0000-FFFF-FFFF00000000}"/>
  </bookViews>
  <sheets>
    <sheet name="概要" sheetId="20" r:id="rId1"/>
    <sheet name="表紙" sheetId="21" r:id="rId2"/>
    <sheet name="日程" sheetId="22" r:id="rId3"/>
    <sheet name="AR予選" sheetId="3" r:id="rId4"/>
    <sheet name="AP予選 " sheetId="33" r:id="rId5"/>
    <sheet name="BR予選" sheetId="18" r:id="rId6"/>
    <sheet name="BP予選" sheetId="24" r:id="rId7"/>
    <sheet name="団体戦" sheetId="5" r:id="rId8"/>
    <sheet name="新聞社報告" sheetId="28" r:id="rId9"/>
    <sheet name="学校対抗" sheetId="34" r:id="rId10"/>
    <sheet name="決勝_男子" sheetId="6" r:id="rId11"/>
    <sheet name="決勝_女子" sheetId="29" r:id="rId12"/>
    <sheet name="補助員" sheetId="30" r:id="rId13"/>
  </sheets>
  <definedNames>
    <definedName name="_xlnm._FilterDatabase" localSheetId="4" hidden="1">'AP予選 '!$A$12:$Q$12</definedName>
    <definedName name="_xlnm._FilterDatabase" localSheetId="3" hidden="1">AR予選!$A$13:$O$13</definedName>
    <definedName name="_xlnm._FilterDatabase" localSheetId="6" hidden="1">BP予選!#REF!</definedName>
    <definedName name="_xlnm._FilterDatabase" localSheetId="5" hidden="1">BR予選!$A$31:$O$31</definedName>
    <definedName name="_xlnm._FilterDatabase" localSheetId="9" hidden="1">学校対抗!$A$3:$H$8</definedName>
    <definedName name="_xlnm._FilterDatabase" localSheetId="11" hidden="1">決勝_女子!$C$5:$O$48</definedName>
    <definedName name="_xlnm._FilterDatabase" localSheetId="10" hidden="1">決勝_男子!$C$5:$O$48</definedName>
    <definedName name="_xlnm._FilterDatabase" localSheetId="7" hidden="1">団体戦!$A$39:$J$42</definedName>
    <definedName name="_xlnm.Print_Area" localSheetId="4">'AP予選 '!$A$1:$O$14</definedName>
    <definedName name="_xlnm.Print_Area" localSheetId="3">AR予選!$B$2:$N$22</definedName>
    <definedName name="_xlnm.Print_Area" localSheetId="6">BP予選!$B$1:$P$38</definedName>
    <definedName name="_xlnm.Print_Area" localSheetId="5">BR予選!$B$1:$N$50</definedName>
    <definedName name="_xlnm.Print_Area" localSheetId="0">概要!$A$1:$I$19</definedName>
    <definedName name="_xlnm.Print_Area" localSheetId="9">学校対抗!$A$1:$I$18</definedName>
    <definedName name="_xlnm.Print_Area" localSheetId="11">決勝_女子!$B$2:$P$53</definedName>
    <definedName name="_xlnm.Print_Area" localSheetId="10">決勝_男子!$B$2:$P$53</definedName>
    <definedName name="_xlnm.Print_Area" localSheetId="8">新聞社報告!$B$1:$I$70</definedName>
    <definedName name="_xlnm.Print_Area" localSheetId="7">団体戦!$B$1:$J$42</definedName>
    <definedName name="_xlnm.Print_Area" localSheetId="2">日程!$B$1:$K$37</definedName>
    <definedName name="_xlnm.Print_Area" localSheetId="1">表紙!$A$1:$I$47</definedName>
    <definedName name="_xlnm.Print_Titles" localSheetId="5">BR予選!$1:$10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28" l="1"/>
  <c r="H47" i="28"/>
  <c r="H46" i="28"/>
  <c r="H45" i="28"/>
  <c r="G47" i="28"/>
  <c r="G45" i="28"/>
  <c r="E45" i="28"/>
  <c r="E34" i="5"/>
  <c r="N17" i="24"/>
  <c r="F34" i="5"/>
  <c r="N22" i="24"/>
  <c r="C34" i="5"/>
  <c r="D34" i="5"/>
  <c r="I34" i="5"/>
  <c r="E32" i="5"/>
  <c r="N16" i="24"/>
  <c r="F32" i="5"/>
  <c r="N13" i="24"/>
  <c r="C32" i="5"/>
  <c r="D32" i="5"/>
  <c r="I32" i="5"/>
  <c r="E33" i="5"/>
  <c r="N15" i="24"/>
  <c r="F33" i="5"/>
  <c r="N18" i="24"/>
  <c r="C33" i="5"/>
  <c r="D33" i="5"/>
  <c r="I33" i="5"/>
  <c r="N25" i="24"/>
  <c r="C36" i="5"/>
  <c r="D36" i="5"/>
  <c r="E36" i="5"/>
  <c r="N23" i="24"/>
  <c r="F36" i="5"/>
  <c r="I36" i="5"/>
  <c r="N19" i="24"/>
  <c r="C35" i="5"/>
  <c r="D35" i="5"/>
  <c r="E35" i="5"/>
  <c r="N24" i="24"/>
  <c r="F35" i="5"/>
  <c r="I35" i="5"/>
  <c r="J34" i="5"/>
  <c r="M21" i="18"/>
  <c r="M24" i="18"/>
  <c r="M20" i="18"/>
  <c r="M18" i="18"/>
  <c r="M14" i="18"/>
  <c r="M13" i="18"/>
  <c r="M15" i="18"/>
  <c r="M17" i="18"/>
  <c r="M22" i="18"/>
  <c r="M26" i="18"/>
  <c r="M16" i="18"/>
  <c r="M28" i="18"/>
  <c r="M27" i="18"/>
  <c r="M25" i="18"/>
  <c r="M23" i="18"/>
  <c r="M19" i="18"/>
  <c r="N14" i="18"/>
  <c r="N15" i="18"/>
  <c r="N17" i="18"/>
  <c r="N23" i="18"/>
  <c r="N25" i="18"/>
  <c r="N27" i="18"/>
  <c r="N13" i="18"/>
  <c r="N19" i="18"/>
  <c r="N20" i="18"/>
  <c r="N18" i="18"/>
  <c r="N24" i="18"/>
  <c r="N21" i="18"/>
  <c r="N28" i="18"/>
  <c r="N16" i="18"/>
  <c r="N26" i="18"/>
  <c r="N22" i="18"/>
  <c r="E27" i="18"/>
  <c r="E18" i="18"/>
  <c r="E19" i="18"/>
  <c r="F24" i="18"/>
  <c r="G14" i="34"/>
  <c r="G16" i="34"/>
  <c r="G15" i="34"/>
  <c r="G12" i="34"/>
  <c r="G13" i="34"/>
  <c r="G8" i="34"/>
  <c r="G6" i="34"/>
  <c r="G7" i="34"/>
  <c r="G5" i="34"/>
  <c r="G4" i="34"/>
  <c r="W34" i="18"/>
  <c r="F31" i="24"/>
  <c r="G67" i="28"/>
  <c r="E67" i="28"/>
  <c r="G58" i="28"/>
  <c r="C60" i="28"/>
  <c r="C14" i="28"/>
  <c r="C7" i="28"/>
  <c r="E42" i="5"/>
  <c r="E41" i="5"/>
  <c r="V30" i="24"/>
  <c r="V35" i="24"/>
  <c r="V37" i="24"/>
  <c r="V36" i="24"/>
  <c r="V38" i="24"/>
  <c r="V31" i="24"/>
  <c r="V33" i="24"/>
  <c r="T32" i="18"/>
  <c r="T33" i="18"/>
  <c r="T34" i="18"/>
  <c r="T35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G24" i="5"/>
  <c r="G25" i="5"/>
  <c r="G26" i="5"/>
  <c r="G28" i="5"/>
  <c r="G27" i="5"/>
  <c r="E24" i="5"/>
  <c r="E25" i="5"/>
  <c r="E26" i="5"/>
  <c r="E28" i="5"/>
  <c r="E27" i="5"/>
  <c r="C24" i="5"/>
  <c r="C25" i="5"/>
  <c r="C26" i="5"/>
  <c r="C28" i="5"/>
  <c r="C27" i="5"/>
  <c r="C3" i="5"/>
  <c r="T14" i="3"/>
  <c r="E3" i="5"/>
  <c r="G35" i="24"/>
  <c r="F35" i="24"/>
  <c r="D35" i="24"/>
  <c r="G30" i="24"/>
  <c r="F30" i="24"/>
  <c r="D30" i="24"/>
  <c r="G34" i="24"/>
  <c r="G31" i="24"/>
  <c r="F34" i="24"/>
  <c r="D34" i="24"/>
  <c r="D31" i="24"/>
  <c r="D20" i="24"/>
  <c r="F20" i="24"/>
  <c r="G20" i="24"/>
  <c r="G18" i="24"/>
  <c r="F18" i="24"/>
  <c r="D18" i="24"/>
  <c r="G23" i="24"/>
  <c r="F23" i="24"/>
  <c r="F16" i="24"/>
  <c r="F21" i="24"/>
  <c r="F22" i="24"/>
  <c r="F25" i="24"/>
  <c r="F17" i="24"/>
  <c r="F14" i="24"/>
  <c r="F19" i="24"/>
  <c r="F13" i="24"/>
  <c r="F24" i="24"/>
  <c r="F15" i="24"/>
  <c r="D23" i="24"/>
  <c r="F48" i="18"/>
  <c r="E48" i="18"/>
  <c r="C48" i="18"/>
  <c r="F38" i="18"/>
  <c r="E38" i="18"/>
  <c r="C38" i="18"/>
  <c r="F44" i="18"/>
  <c r="E44" i="18"/>
  <c r="C44" i="18"/>
  <c r="F33" i="18"/>
  <c r="E33" i="18"/>
  <c r="C33" i="18"/>
  <c r="F28" i="18"/>
  <c r="E28" i="18"/>
  <c r="F13" i="18"/>
  <c r="E13" i="18"/>
  <c r="C13" i="18"/>
  <c r="F16" i="18"/>
  <c r="E16" i="18"/>
  <c r="C16" i="18"/>
  <c r="F27" i="18"/>
  <c r="C27" i="18"/>
  <c r="C14" i="18"/>
  <c r="C24" i="18"/>
  <c r="E24" i="18"/>
  <c r="C36" i="18"/>
  <c r="F46" i="18"/>
  <c r="F47" i="18"/>
  <c r="F34" i="18"/>
  <c r="F42" i="18"/>
  <c r="F43" i="18"/>
  <c r="F37" i="18"/>
  <c r="F45" i="18"/>
  <c r="F49" i="18"/>
  <c r="F41" i="18"/>
  <c r="F36" i="18"/>
  <c r="F40" i="18"/>
  <c r="F35" i="18"/>
  <c r="F50" i="18"/>
  <c r="F32" i="18"/>
  <c r="F39" i="18"/>
  <c r="E46" i="18"/>
  <c r="E47" i="18"/>
  <c r="E34" i="18"/>
  <c r="E42" i="18"/>
  <c r="E43" i="18"/>
  <c r="E37" i="18"/>
  <c r="E45" i="18"/>
  <c r="E49" i="18"/>
  <c r="E41" i="18"/>
  <c r="E36" i="18"/>
  <c r="E40" i="18"/>
  <c r="E35" i="18"/>
  <c r="E50" i="18"/>
  <c r="E32" i="18"/>
  <c r="E39" i="18"/>
  <c r="C46" i="18"/>
  <c r="C47" i="18"/>
  <c r="C34" i="18"/>
  <c r="C42" i="18"/>
  <c r="C43" i="18"/>
  <c r="C37" i="18"/>
  <c r="C45" i="18"/>
  <c r="C49" i="18"/>
  <c r="C41" i="18"/>
  <c r="C40" i="18"/>
  <c r="C35" i="18"/>
  <c r="C50" i="18"/>
  <c r="C32" i="18"/>
  <c r="C39" i="18"/>
  <c r="M44" i="18"/>
  <c r="M50" i="18"/>
  <c r="M32" i="18"/>
  <c r="M48" i="18"/>
  <c r="M33" i="18"/>
  <c r="M34" i="18"/>
  <c r="M35" i="18"/>
  <c r="M36" i="18"/>
  <c r="M40" i="18"/>
  <c r="M39" i="18"/>
  <c r="M49" i="18"/>
  <c r="M47" i="18"/>
  <c r="M46" i="18"/>
  <c r="M45" i="18"/>
  <c r="M43" i="18"/>
  <c r="M42" i="18"/>
  <c r="M41" i="18"/>
  <c r="M38" i="18"/>
  <c r="M37" i="18"/>
  <c r="N48" i="18"/>
  <c r="N39" i="18"/>
  <c r="C14" i="3"/>
  <c r="D16" i="24"/>
  <c r="C67" i="28"/>
  <c r="G60" i="28"/>
  <c r="E60" i="28"/>
  <c r="C17" i="28"/>
  <c r="F28" i="5"/>
  <c r="N32" i="18"/>
  <c r="N50" i="18"/>
  <c r="N44" i="18"/>
  <c r="AA14" i="18"/>
  <c r="Z14" i="18"/>
  <c r="Y13" i="24"/>
  <c r="Y17" i="18"/>
  <c r="Z17" i="18"/>
  <c r="AA17" i="18"/>
  <c r="Y14" i="18"/>
  <c r="X14" i="18"/>
  <c r="Y16" i="18"/>
  <c r="AA16" i="18"/>
  <c r="X16" i="18"/>
  <c r="X17" i="18"/>
  <c r="Z15" i="24"/>
  <c r="Y14" i="24"/>
  <c r="AA15" i="18"/>
  <c r="Z16" i="18"/>
  <c r="Y15" i="18"/>
  <c r="Z15" i="18"/>
  <c r="X15" i="18"/>
  <c r="Z37" i="18"/>
  <c r="Y37" i="18"/>
  <c r="Z36" i="18"/>
  <c r="W38" i="18"/>
  <c r="W37" i="18"/>
  <c r="W39" i="18"/>
  <c r="X36" i="18"/>
  <c r="W36" i="18"/>
  <c r="Y38" i="18"/>
  <c r="Y39" i="18"/>
  <c r="X38" i="18"/>
  <c r="X39" i="18"/>
  <c r="X37" i="18"/>
  <c r="Y36" i="18"/>
  <c r="Z38" i="18"/>
  <c r="W32" i="18"/>
  <c r="W33" i="18"/>
  <c r="W35" i="18"/>
  <c r="M16" i="3"/>
  <c r="D3" i="5"/>
  <c r="M15" i="3"/>
  <c r="M17" i="3"/>
  <c r="M14" i="3"/>
  <c r="D7" i="28"/>
  <c r="D37" i="24"/>
  <c r="F37" i="24"/>
  <c r="F29" i="24"/>
  <c r="C68" i="28"/>
  <c r="G37" i="24"/>
  <c r="N37" i="24"/>
  <c r="N31" i="24"/>
  <c r="N29" i="24"/>
  <c r="D67" i="28"/>
  <c r="E68" i="28"/>
  <c r="N34" i="24"/>
  <c r="N30" i="24"/>
  <c r="F67" i="28"/>
  <c r="D36" i="24"/>
  <c r="F36" i="24"/>
  <c r="F32" i="24"/>
  <c r="G68" i="28"/>
  <c r="G36" i="24"/>
  <c r="N36" i="24"/>
  <c r="D38" i="24"/>
  <c r="F38" i="24"/>
  <c r="G38" i="24"/>
  <c r="N38" i="24"/>
  <c r="D29" i="24"/>
  <c r="G29" i="24"/>
  <c r="D32" i="24"/>
  <c r="G32" i="24"/>
  <c r="N32" i="24"/>
  <c r="N35" i="24"/>
  <c r="B33" i="24"/>
  <c r="D33" i="24"/>
  <c r="F33" i="24"/>
  <c r="G33" i="24"/>
  <c r="N33" i="24"/>
  <c r="O33" i="24"/>
  <c r="Z29" i="24"/>
  <c r="AB30" i="24"/>
  <c r="AA29" i="24"/>
  <c r="AC30" i="24"/>
  <c r="AA30" i="24"/>
  <c r="Z30" i="24"/>
  <c r="AC29" i="24"/>
  <c r="AB29" i="24"/>
  <c r="Y30" i="24"/>
  <c r="Y29" i="24"/>
  <c r="H67" i="28"/>
  <c r="O35" i="24"/>
  <c r="O30" i="24"/>
  <c r="O29" i="24"/>
  <c r="O32" i="24"/>
  <c r="O36" i="24"/>
  <c r="O38" i="24"/>
  <c r="O31" i="24"/>
  <c r="O34" i="24"/>
  <c r="O37" i="24"/>
  <c r="F14" i="18"/>
  <c r="F15" i="18"/>
  <c r="F23" i="18"/>
  <c r="F17" i="18"/>
  <c r="F25" i="18"/>
  <c r="F19" i="18"/>
  <c r="F18" i="18"/>
  <c r="F20" i="18"/>
  <c r="F21" i="18"/>
  <c r="F26" i="18"/>
  <c r="F22" i="18"/>
  <c r="C15" i="18"/>
  <c r="C23" i="18"/>
  <c r="C17" i="18"/>
  <c r="AB14" i="24"/>
  <c r="AA14" i="24"/>
  <c r="AB13" i="24"/>
  <c r="Z14" i="24"/>
  <c r="AA15" i="24"/>
  <c r="AC14" i="24"/>
  <c r="Z13" i="24"/>
  <c r="AC13" i="24"/>
  <c r="AA13" i="24"/>
  <c r="Y15" i="24"/>
  <c r="V32" i="24"/>
  <c r="V34" i="24"/>
  <c r="C40" i="5"/>
  <c r="D60" i="28"/>
  <c r="V29" i="24"/>
  <c r="D25" i="24"/>
  <c r="V19" i="24"/>
  <c r="E14" i="18"/>
  <c r="E15" i="18"/>
  <c r="E23" i="18"/>
  <c r="E17" i="18"/>
  <c r="E25" i="18"/>
  <c r="E20" i="18"/>
  <c r="E21" i="18"/>
  <c r="E26" i="18"/>
  <c r="E22" i="18"/>
  <c r="C25" i="18"/>
  <c r="C19" i="18"/>
  <c r="C18" i="18"/>
  <c r="C20" i="18"/>
  <c r="C21" i="18"/>
  <c r="C28" i="18"/>
  <c r="C26" i="18"/>
  <c r="C22" i="18"/>
  <c r="G16" i="24"/>
  <c r="G21" i="24"/>
  <c r="G22" i="24"/>
  <c r="G17" i="24"/>
  <c r="G14" i="24"/>
  <c r="G19" i="24"/>
  <c r="G13" i="24"/>
  <c r="G24" i="24"/>
  <c r="G15" i="24"/>
  <c r="D21" i="24"/>
  <c r="D22" i="24"/>
  <c r="D17" i="24"/>
  <c r="D14" i="24"/>
  <c r="D19" i="24"/>
  <c r="D13" i="24"/>
  <c r="D24" i="24"/>
  <c r="D15" i="24"/>
  <c r="V25" i="24"/>
  <c r="V24" i="24"/>
  <c r="V22" i="24"/>
  <c r="V20" i="24"/>
  <c r="V18" i="24"/>
  <c r="V16" i="24"/>
  <c r="V14" i="24"/>
  <c r="V13" i="24"/>
  <c r="V17" i="24"/>
  <c r="V21" i="24"/>
  <c r="V23" i="24"/>
  <c r="V15" i="24"/>
  <c r="B23" i="24"/>
  <c r="T20" i="18"/>
  <c r="T28" i="18"/>
  <c r="T27" i="18"/>
  <c r="T26" i="18"/>
  <c r="T25" i="18"/>
  <c r="T24" i="18"/>
  <c r="T23" i="18"/>
  <c r="T22" i="18"/>
  <c r="T21" i="18"/>
  <c r="T19" i="18"/>
  <c r="T17" i="18"/>
  <c r="T16" i="18"/>
  <c r="T18" i="18"/>
  <c r="T15" i="18"/>
  <c r="T14" i="18"/>
  <c r="T13" i="18"/>
  <c r="V21" i="3"/>
  <c r="V22" i="3"/>
  <c r="T22" i="3"/>
  <c r="T21" i="3"/>
  <c r="E14" i="3"/>
  <c r="C8" i="28"/>
  <c r="C21" i="3"/>
  <c r="C17" i="3"/>
  <c r="E17" i="3"/>
  <c r="F17" i="3"/>
  <c r="C15" i="3"/>
  <c r="E15" i="3"/>
  <c r="F15" i="3"/>
  <c r="C22" i="3"/>
  <c r="E22" i="3"/>
  <c r="F22" i="3"/>
  <c r="E58" i="28"/>
  <c r="C58" i="28"/>
  <c r="C45" i="28"/>
  <c r="G42" i="28"/>
  <c r="E42" i="28"/>
  <c r="C42" i="28"/>
  <c r="D31" i="28"/>
  <c r="D30" i="28"/>
  <c r="C30" i="28"/>
  <c r="M14" i="33"/>
  <c r="F23" i="28"/>
  <c r="F11" i="5"/>
  <c r="E24" i="28"/>
  <c r="E23" i="28"/>
  <c r="C24" i="28"/>
  <c r="C23" i="28"/>
  <c r="G7" i="28"/>
  <c r="T16" i="3"/>
  <c r="T15" i="3"/>
  <c r="T17" i="3"/>
  <c r="E9" i="5"/>
  <c r="E5" i="5"/>
  <c r="E1" i="5"/>
  <c r="N20" i="24"/>
  <c r="E40" i="5"/>
  <c r="D45" i="28"/>
  <c r="D46" i="28"/>
  <c r="G17" i="5"/>
  <c r="F44" i="28"/>
  <c r="E19" i="5"/>
  <c r="E17" i="5"/>
  <c r="F43" i="28"/>
  <c r="G16" i="5"/>
  <c r="D44" i="28"/>
  <c r="C17" i="5"/>
  <c r="F42" i="28"/>
  <c r="C16" i="5"/>
  <c r="D42" i="28"/>
  <c r="C18" i="5"/>
  <c r="G18" i="5"/>
  <c r="E18" i="5"/>
  <c r="C19" i="5"/>
  <c r="G19" i="5"/>
  <c r="E16" i="5"/>
  <c r="D43" i="28"/>
  <c r="C42" i="5"/>
  <c r="C41" i="5"/>
  <c r="D40" i="5"/>
  <c r="H59" i="28"/>
  <c r="H58" i="28"/>
  <c r="G25" i="24"/>
  <c r="D15" i="28"/>
  <c r="G7" i="5"/>
  <c r="D19" i="28"/>
  <c r="C7" i="5"/>
  <c r="D17" i="28"/>
  <c r="E7" i="5"/>
  <c r="D18" i="28"/>
  <c r="G3" i="5"/>
  <c r="H7" i="28"/>
  <c r="F40" i="5"/>
  <c r="I40" i="5"/>
  <c r="D42" i="5"/>
  <c r="F42" i="5"/>
  <c r="I42" i="5"/>
  <c r="D41" i="5"/>
  <c r="F41" i="5"/>
  <c r="I41" i="5"/>
  <c r="J40" i="5"/>
  <c r="D61" i="28"/>
  <c r="H44" i="28"/>
  <c r="F61" i="28"/>
  <c r="H60" i="28"/>
  <c r="J42" i="5"/>
  <c r="H61" i="28"/>
  <c r="F60" i="28"/>
  <c r="D58" i="28"/>
  <c r="H43" i="28"/>
  <c r="F58" i="28"/>
  <c r="H42" i="28"/>
  <c r="F59" i="28"/>
  <c r="H3" i="5"/>
  <c r="D16" i="28"/>
  <c r="D14" i="28"/>
  <c r="E61" i="28"/>
  <c r="J41" i="5"/>
  <c r="C61" i="28"/>
  <c r="B15" i="24"/>
  <c r="B24" i="24"/>
  <c r="B19" i="24"/>
  <c r="B17" i="24"/>
  <c r="B14" i="24"/>
  <c r="N14" i="24"/>
  <c r="M22" i="3"/>
  <c r="H7" i="5"/>
  <c r="F21" i="3"/>
  <c r="E21" i="3"/>
  <c r="E7" i="28"/>
  <c r="B5" i="21"/>
  <c r="G61" i="28"/>
  <c r="N21" i="24"/>
  <c r="O23" i="24"/>
  <c r="O24" i="24"/>
  <c r="N22" i="3"/>
  <c r="O15" i="24"/>
  <c r="N16" i="3"/>
  <c r="N15" i="3"/>
  <c r="C16" i="3"/>
  <c r="F14" i="3"/>
  <c r="F16" i="3"/>
  <c r="E16" i="3"/>
  <c r="G8" i="28"/>
  <c r="B6" i="21"/>
  <c r="G65" i="28"/>
  <c r="E65" i="28"/>
  <c r="C65" i="28"/>
  <c r="G53" i="28"/>
  <c r="E53" i="28"/>
  <c r="C53" i="28"/>
  <c r="E51" i="28"/>
  <c r="C51" i="28"/>
  <c r="E9" i="28"/>
  <c r="C9" i="28"/>
  <c r="F19" i="5"/>
  <c r="H18" i="5"/>
  <c r="C4" i="28"/>
  <c r="C38" i="28"/>
  <c r="N35" i="18"/>
  <c r="C66" i="28"/>
  <c r="E66" i="28"/>
  <c r="G66" i="28"/>
  <c r="N36" i="18"/>
  <c r="N40" i="18"/>
  <c r="D28" i="5"/>
  <c r="N41" i="18"/>
  <c r="N45" i="18"/>
  <c r="N49" i="18"/>
  <c r="H28" i="5"/>
  <c r="N37" i="18"/>
  <c r="N43" i="18"/>
  <c r="N38" i="18"/>
  <c r="N42" i="18"/>
  <c r="N33" i="18"/>
  <c r="N34" i="18"/>
  <c r="N47" i="18"/>
  <c r="N46" i="18"/>
  <c r="H53" i="28"/>
  <c r="F24" i="5"/>
  <c r="H26" i="5"/>
  <c r="F26" i="5"/>
  <c r="F53" i="28"/>
  <c r="D26" i="5"/>
  <c r="H19" i="5"/>
  <c r="D18" i="5"/>
  <c r="D19" i="5"/>
  <c r="I19" i="5" s="1"/>
  <c r="F18" i="5"/>
  <c r="D59" i="28"/>
  <c r="H24" i="5"/>
  <c r="F46" i="28"/>
  <c r="F27" i="5"/>
  <c r="H27" i="5"/>
  <c r="F16" i="5"/>
  <c r="F47" i="28"/>
  <c r="D17" i="5"/>
  <c r="H16" i="5"/>
  <c r="H51" i="28"/>
  <c r="F51" i="28"/>
  <c r="C54" i="28"/>
  <c r="E54" i="28"/>
  <c r="G54" i="28"/>
  <c r="B13" i="24"/>
  <c r="E10" i="28"/>
  <c r="D14" i="5"/>
  <c r="E14" i="5"/>
  <c r="E5" i="24"/>
  <c r="D5" i="18"/>
  <c r="I28" i="5"/>
  <c r="O14" i="24"/>
  <c r="O20" i="24"/>
  <c r="O17" i="24"/>
  <c r="O19" i="24"/>
  <c r="I26" i="5"/>
  <c r="I18" i="5"/>
  <c r="O13" i="24"/>
  <c r="C52" i="28"/>
  <c r="G52" i="28"/>
  <c r="D47" i="28"/>
  <c r="F45" i="28"/>
  <c r="D24" i="5"/>
  <c r="I24" i="5"/>
  <c r="C47" i="28"/>
  <c r="C10" i="28"/>
  <c r="E52" i="28"/>
  <c r="E8" i="28"/>
  <c r="E59" i="28"/>
  <c r="D30" i="5"/>
  <c r="E30" i="5"/>
  <c r="D5" i="33"/>
  <c r="D6" i="3"/>
  <c r="G44" i="28"/>
  <c r="D38" i="5"/>
  <c r="E22" i="5"/>
  <c r="E38" i="5"/>
  <c r="H17" i="5"/>
  <c r="D16" i="5"/>
  <c r="I16" i="5" s="1"/>
  <c r="F17" i="5"/>
  <c r="I17" i="5" s="1"/>
  <c r="D51" i="28"/>
  <c r="M13" i="33"/>
  <c r="D11" i="5"/>
  <c r="I11" i="5"/>
  <c r="C31" i="28"/>
  <c r="O14" i="33"/>
  <c r="O13" i="33"/>
  <c r="D23" i="28"/>
  <c r="F3" i="5"/>
  <c r="I3" i="5"/>
  <c r="J3" i="5"/>
  <c r="E13" i="21"/>
  <c r="E9" i="21"/>
  <c r="B4" i="21"/>
  <c r="D65" i="28"/>
  <c r="W35" i="29"/>
  <c r="Y6" i="29"/>
  <c r="AD35" i="29"/>
  <c r="AC35" i="29"/>
  <c r="AB35" i="29"/>
  <c r="AA35" i="29"/>
  <c r="AA6" i="29"/>
  <c r="Z35" i="29"/>
  <c r="Y35" i="29"/>
  <c r="X35" i="29"/>
  <c r="AD35" i="6"/>
  <c r="AC35" i="6"/>
  <c r="AB35" i="6"/>
  <c r="AA35" i="6"/>
  <c r="Z35" i="6"/>
  <c r="AB6" i="6"/>
  <c r="Y35" i="6"/>
  <c r="X35" i="6"/>
  <c r="W35" i="6"/>
  <c r="Y6" i="6"/>
  <c r="D38" i="28"/>
  <c r="F14" i="5"/>
  <c r="F22" i="5"/>
  <c r="D53" i="28"/>
  <c r="M21" i="3"/>
  <c r="Z6" i="6"/>
  <c r="AD6" i="29"/>
  <c r="Z6" i="29"/>
  <c r="AC6" i="6"/>
  <c r="G59" i="28"/>
  <c r="O16" i="24"/>
  <c r="N21" i="3"/>
  <c r="D7" i="5"/>
  <c r="O18" i="24"/>
  <c r="O25" i="24"/>
  <c r="W6" i="6"/>
  <c r="X6" i="29"/>
  <c r="H65" i="28"/>
  <c r="O22" i="24"/>
  <c r="N17" i="3"/>
  <c r="AA6" i="6"/>
  <c r="F7" i="5"/>
  <c r="F65" i="28"/>
  <c r="O21" i="24"/>
  <c r="N14" i="3"/>
  <c r="F7" i="28"/>
  <c r="D9" i="28"/>
  <c r="F9" i="28"/>
  <c r="H25" i="5"/>
  <c r="D27" i="5"/>
  <c r="D25" i="5"/>
  <c r="F25" i="5"/>
  <c r="F38" i="5"/>
  <c r="F30" i="5"/>
  <c r="B22" i="24"/>
  <c r="B25" i="24"/>
  <c r="B18" i="24"/>
  <c r="B20" i="24"/>
  <c r="B21" i="24"/>
  <c r="B16" i="24"/>
  <c r="B26" i="24"/>
  <c r="AD6" i="6"/>
  <c r="AB6" i="29"/>
  <c r="W6" i="29"/>
  <c r="B18" i="6"/>
  <c r="B12" i="6"/>
  <c r="B42" i="6"/>
  <c r="X6" i="6"/>
  <c r="AC6" i="29"/>
  <c r="I7" i="5"/>
  <c r="C59" i="28"/>
  <c r="J36" i="5"/>
  <c r="C16" i="28"/>
  <c r="I25" i="5"/>
  <c r="I27" i="5"/>
  <c r="J28" i="5"/>
  <c r="I43" i="6"/>
  <c r="I42" i="6"/>
  <c r="H47" i="6"/>
  <c r="G46" i="6"/>
  <c r="K44" i="6"/>
  <c r="H44" i="6"/>
  <c r="F42" i="6"/>
  <c r="J43" i="6"/>
  <c r="J42" i="6"/>
  <c r="K43" i="6"/>
  <c r="K42" i="6"/>
  <c r="N43" i="6"/>
  <c r="N42" i="6"/>
  <c r="M43" i="6"/>
  <c r="M42" i="6"/>
  <c r="O43" i="6"/>
  <c r="O42" i="6"/>
  <c r="G47" i="6"/>
  <c r="L43" i="6"/>
  <c r="L42" i="6"/>
  <c r="H46" i="6"/>
  <c r="E42" i="6"/>
  <c r="H43" i="6"/>
  <c r="H42" i="6"/>
  <c r="G44" i="6"/>
  <c r="N44" i="6"/>
  <c r="L44" i="6"/>
  <c r="G43" i="6"/>
  <c r="G42" i="6"/>
  <c r="G45" i="6"/>
  <c r="D42" i="6"/>
  <c r="O44" i="6"/>
  <c r="M44" i="6"/>
  <c r="C42" i="6"/>
  <c r="J44" i="6"/>
  <c r="I44" i="6"/>
  <c r="H45" i="6"/>
  <c r="H16" i="6"/>
  <c r="N14" i="6"/>
  <c r="E12" i="6"/>
  <c r="C12" i="6"/>
  <c r="K13" i="6"/>
  <c r="K12" i="6"/>
  <c r="M13" i="6"/>
  <c r="M12" i="6"/>
  <c r="L13" i="6"/>
  <c r="L12" i="6"/>
  <c r="G15" i="6"/>
  <c r="L14" i="6"/>
  <c r="K14" i="6"/>
  <c r="J14" i="6"/>
  <c r="D12" i="6"/>
  <c r="H17" i="6"/>
  <c r="H14" i="6"/>
  <c r="O14" i="6"/>
  <c r="I13" i="6"/>
  <c r="I12" i="6"/>
  <c r="H13" i="6"/>
  <c r="H12" i="6"/>
  <c r="G16" i="6"/>
  <c r="H15" i="6"/>
  <c r="M14" i="6"/>
  <c r="N13" i="6"/>
  <c r="N12" i="6"/>
  <c r="F12" i="6"/>
  <c r="J13" i="6"/>
  <c r="J12" i="6"/>
  <c r="O13" i="6"/>
  <c r="O12" i="6"/>
  <c r="G13" i="6"/>
  <c r="G12" i="6"/>
  <c r="P12" i="6"/>
  <c r="G14" i="6"/>
  <c r="I14" i="6"/>
  <c r="G17" i="6"/>
  <c r="K20" i="6"/>
  <c r="C18" i="6"/>
  <c r="L19" i="6"/>
  <c r="L18" i="6"/>
  <c r="E18" i="6"/>
  <c r="I19" i="6"/>
  <c r="I18" i="6"/>
  <c r="H21" i="6"/>
  <c r="G23" i="6"/>
  <c r="K19" i="6"/>
  <c r="K18" i="6"/>
  <c r="H22" i="6"/>
  <c r="H19" i="6"/>
  <c r="H18" i="6"/>
  <c r="G19" i="6"/>
  <c r="G18" i="6"/>
  <c r="L20" i="6"/>
  <c r="M20" i="6"/>
  <c r="I20" i="6"/>
  <c r="G22" i="6"/>
  <c r="O20" i="6"/>
  <c r="G20" i="6"/>
  <c r="F18" i="6"/>
  <c r="H23" i="6"/>
  <c r="N19" i="6"/>
  <c r="N18" i="6"/>
  <c r="O19" i="6"/>
  <c r="O18" i="6"/>
  <c r="H20" i="6"/>
  <c r="D18" i="6"/>
  <c r="J19" i="6"/>
  <c r="J18" i="6"/>
  <c r="N20" i="6"/>
  <c r="G21" i="6"/>
  <c r="J20" i="6"/>
  <c r="M19" i="6"/>
  <c r="M18" i="6"/>
  <c r="B36" i="6"/>
  <c r="B24" i="6"/>
  <c r="B6" i="6"/>
  <c r="B48" i="6"/>
  <c r="B30" i="6"/>
  <c r="B18" i="29"/>
  <c r="B42" i="29"/>
  <c r="B12" i="29"/>
  <c r="B6" i="29"/>
  <c r="B30" i="29"/>
  <c r="B24" i="29"/>
  <c r="B36" i="29"/>
  <c r="B48" i="29"/>
  <c r="J35" i="5"/>
  <c r="J32" i="5"/>
  <c r="J33" i="5"/>
  <c r="E47" i="28"/>
  <c r="J26" i="5"/>
  <c r="J7" i="5"/>
  <c r="P42" i="6"/>
  <c r="J27" i="5"/>
  <c r="J25" i="5"/>
  <c r="J24" i="5"/>
  <c r="J13" i="29"/>
  <c r="J12" i="29"/>
  <c r="L14" i="29"/>
  <c r="O14" i="29"/>
  <c r="N14" i="29"/>
  <c r="J14" i="29"/>
  <c r="D12" i="29"/>
  <c r="M14" i="29"/>
  <c r="N13" i="29"/>
  <c r="N12" i="29"/>
  <c r="G13" i="29"/>
  <c r="G12" i="29"/>
  <c r="G14" i="29"/>
  <c r="F12" i="29"/>
  <c r="H15" i="29"/>
  <c r="L13" i="29"/>
  <c r="L12" i="29"/>
  <c r="G16" i="29"/>
  <c r="H16" i="29"/>
  <c r="H17" i="29"/>
  <c r="K14" i="29"/>
  <c r="O13" i="29"/>
  <c r="O12" i="29"/>
  <c r="M13" i="29"/>
  <c r="M12" i="29"/>
  <c r="I13" i="29"/>
  <c r="I12" i="29"/>
  <c r="K13" i="29"/>
  <c r="K12" i="29"/>
  <c r="G17" i="29"/>
  <c r="E12" i="29"/>
  <c r="H13" i="29"/>
  <c r="H12" i="29"/>
  <c r="I14" i="29"/>
  <c r="G15" i="29"/>
  <c r="H14" i="29"/>
  <c r="C12" i="29"/>
  <c r="G53" i="6"/>
  <c r="K49" i="6"/>
  <c r="K48" i="6"/>
  <c r="J50" i="6"/>
  <c r="E48" i="6"/>
  <c r="M50" i="6"/>
  <c r="G49" i="6"/>
  <c r="G48" i="6"/>
  <c r="I50" i="6"/>
  <c r="H50" i="6"/>
  <c r="K50" i="6"/>
  <c r="G51" i="6"/>
  <c r="H52" i="6"/>
  <c r="L49" i="6"/>
  <c r="L48" i="6"/>
  <c r="J49" i="6"/>
  <c r="J48" i="6"/>
  <c r="G52" i="6"/>
  <c r="G50" i="6"/>
  <c r="D48" i="6"/>
  <c r="H49" i="6"/>
  <c r="H48" i="6"/>
  <c r="O50" i="6"/>
  <c r="C48" i="6"/>
  <c r="I49" i="6"/>
  <c r="I48" i="6"/>
  <c r="O49" i="6"/>
  <c r="O48" i="6"/>
  <c r="N50" i="6"/>
  <c r="F48" i="6"/>
  <c r="M49" i="6"/>
  <c r="M48" i="6"/>
  <c r="H51" i="6"/>
  <c r="L50" i="6"/>
  <c r="H53" i="6"/>
  <c r="N49" i="6"/>
  <c r="N48" i="6"/>
  <c r="G41" i="29"/>
  <c r="H39" i="29"/>
  <c r="L38" i="29"/>
  <c r="N37" i="29"/>
  <c r="N36" i="29"/>
  <c r="I38" i="29"/>
  <c r="M37" i="29"/>
  <c r="M36" i="29"/>
  <c r="O37" i="29"/>
  <c r="O36" i="29"/>
  <c r="N38" i="29"/>
  <c r="K38" i="29"/>
  <c r="G37" i="29"/>
  <c r="G36" i="29"/>
  <c r="H38" i="29"/>
  <c r="D36" i="29"/>
  <c r="I37" i="29"/>
  <c r="I36" i="29"/>
  <c r="H41" i="29"/>
  <c r="L37" i="29"/>
  <c r="L36" i="29"/>
  <c r="C36" i="29"/>
  <c r="H40" i="29"/>
  <c r="M38" i="29"/>
  <c r="J38" i="29"/>
  <c r="O38" i="29"/>
  <c r="G38" i="29"/>
  <c r="J37" i="29"/>
  <c r="J36" i="29"/>
  <c r="E36" i="29"/>
  <c r="H37" i="29"/>
  <c r="H36" i="29"/>
  <c r="F36" i="29"/>
  <c r="G40" i="29"/>
  <c r="G39" i="29"/>
  <c r="K37" i="29"/>
  <c r="K36" i="29"/>
  <c r="I26" i="29"/>
  <c r="F24" i="29"/>
  <c r="N26" i="29"/>
  <c r="G26" i="29"/>
  <c r="K25" i="29"/>
  <c r="K24" i="29"/>
  <c r="H25" i="29"/>
  <c r="H24" i="29"/>
  <c r="M25" i="29"/>
  <c r="M24" i="29"/>
  <c r="G25" i="29"/>
  <c r="G24" i="29"/>
  <c r="H27" i="29"/>
  <c r="O26" i="29"/>
  <c r="D24" i="29"/>
  <c r="K26" i="29"/>
  <c r="M26" i="29"/>
  <c r="G27" i="29"/>
  <c r="J26" i="29"/>
  <c r="G29" i="29"/>
  <c r="N25" i="29"/>
  <c r="N24" i="29"/>
  <c r="E24" i="29"/>
  <c r="J25" i="29"/>
  <c r="J24" i="29"/>
  <c r="H29" i="29"/>
  <c r="G28" i="29"/>
  <c r="L26" i="29"/>
  <c r="H26" i="29"/>
  <c r="L25" i="29"/>
  <c r="L24" i="29"/>
  <c r="O25" i="29"/>
  <c r="O24" i="29"/>
  <c r="C24" i="29"/>
  <c r="I25" i="29"/>
  <c r="I24" i="29"/>
  <c r="H28" i="29"/>
  <c r="N43" i="29"/>
  <c r="N42" i="29"/>
  <c r="K43" i="29"/>
  <c r="K42" i="29"/>
  <c r="N44" i="29"/>
  <c r="H44" i="29"/>
  <c r="L43" i="29"/>
  <c r="L42" i="29"/>
  <c r="M43" i="29"/>
  <c r="M42" i="29"/>
  <c r="O43" i="29"/>
  <c r="O42" i="29"/>
  <c r="I44" i="29"/>
  <c r="G44" i="29"/>
  <c r="H47" i="29"/>
  <c r="J43" i="29"/>
  <c r="J42" i="29"/>
  <c r="C42" i="29"/>
  <c r="E42" i="29"/>
  <c r="G47" i="29"/>
  <c r="K44" i="29"/>
  <c r="H45" i="29"/>
  <c r="G43" i="29"/>
  <c r="G42" i="29"/>
  <c r="D42" i="29"/>
  <c r="J44" i="29"/>
  <c r="M44" i="29"/>
  <c r="O44" i="29"/>
  <c r="H46" i="29"/>
  <c r="H43" i="29"/>
  <c r="H42" i="29"/>
  <c r="F42" i="29"/>
  <c r="I43" i="29"/>
  <c r="I42" i="29"/>
  <c r="G46" i="29"/>
  <c r="G45" i="29"/>
  <c r="L44" i="29"/>
  <c r="E6" i="6"/>
  <c r="H9" i="6"/>
  <c r="G10" i="6"/>
  <c r="H8" i="6"/>
  <c r="G9" i="6"/>
  <c r="C6" i="6"/>
  <c r="O8" i="6"/>
  <c r="G8" i="6"/>
  <c r="O7" i="6"/>
  <c r="O6" i="6"/>
  <c r="H7" i="6"/>
  <c r="H6" i="6"/>
  <c r="D6" i="6"/>
  <c r="H11" i="6"/>
  <c r="N7" i="6"/>
  <c r="N6" i="6"/>
  <c r="J7" i="6"/>
  <c r="J6" i="6"/>
  <c r="J8" i="6"/>
  <c r="K7" i="6"/>
  <c r="K6" i="6"/>
  <c r="I8" i="6"/>
  <c r="M7" i="6"/>
  <c r="M6" i="6"/>
  <c r="L8" i="6"/>
  <c r="M8" i="6"/>
  <c r="K8" i="6"/>
  <c r="F6" i="6"/>
  <c r="G7" i="6"/>
  <c r="G6" i="6"/>
  <c r="I7" i="6"/>
  <c r="I6" i="6"/>
  <c r="G11" i="6"/>
  <c r="H10" i="6"/>
  <c r="N8" i="6"/>
  <c r="L7" i="6"/>
  <c r="L6" i="6"/>
  <c r="P18" i="6"/>
  <c r="Q18" i="6"/>
  <c r="G50" i="29"/>
  <c r="I50" i="29"/>
  <c r="F48" i="29"/>
  <c r="E48" i="29"/>
  <c r="H52" i="29"/>
  <c r="C48" i="29"/>
  <c r="K50" i="29"/>
  <c r="J50" i="29"/>
  <c r="G53" i="29"/>
  <c r="N49" i="29"/>
  <c r="N48" i="29"/>
  <c r="J49" i="29"/>
  <c r="J48" i="29"/>
  <c r="G52" i="29"/>
  <c r="L50" i="29"/>
  <c r="H49" i="29"/>
  <c r="H48" i="29"/>
  <c r="I49" i="29"/>
  <c r="I48" i="29"/>
  <c r="M49" i="29"/>
  <c r="M48" i="29"/>
  <c r="G49" i="29"/>
  <c r="G48" i="29"/>
  <c r="O49" i="29"/>
  <c r="O48" i="29"/>
  <c r="N50" i="29"/>
  <c r="G51" i="29"/>
  <c r="H50" i="29"/>
  <c r="D48" i="29"/>
  <c r="H53" i="29"/>
  <c r="O50" i="29"/>
  <c r="H51" i="29"/>
  <c r="K49" i="29"/>
  <c r="K48" i="29"/>
  <c r="M50" i="29"/>
  <c r="L49" i="29"/>
  <c r="L48" i="29"/>
  <c r="I32" i="29"/>
  <c r="L31" i="29"/>
  <c r="L30" i="29"/>
  <c r="M31" i="29"/>
  <c r="M30" i="29"/>
  <c r="G35" i="29"/>
  <c r="G34" i="29"/>
  <c r="H32" i="29"/>
  <c r="H35" i="29"/>
  <c r="G31" i="29"/>
  <c r="G30" i="29"/>
  <c r="H31" i="29"/>
  <c r="H30" i="29"/>
  <c r="M32" i="29"/>
  <c r="H33" i="29"/>
  <c r="K31" i="29"/>
  <c r="K30" i="29"/>
  <c r="J31" i="29"/>
  <c r="J30" i="29"/>
  <c r="G33" i="29"/>
  <c r="O31" i="29"/>
  <c r="O30" i="29"/>
  <c r="L32" i="29"/>
  <c r="N31" i="29"/>
  <c r="N30" i="29"/>
  <c r="D30" i="29"/>
  <c r="C30" i="29"/>
  <c r="E30" i="29"/>
  <c r="I31" i="29"/>
  <c r="I30" i="29"/>
  <c r="F30" i="29"/>
  <c r="K32" i="29"/>
  <c r="H34" i="29"/>
  <c r="J32" i="29"/>
  <c r="N32" i="29"/>
  <c r="G32" i="29"/>
  <c r="O32" i="29"/>
  <c r="E18" i="29"/>
  <c r="H20" i="29"/>
  <c r="G19" i="29"/>
  <c r="G18" i="29"/>
  <c r="M20" i="29"/>
  <c r="N19" i="29"/>
  <c r="N18" i="29"/>
  <c r="K20" i="29"/>
  <c r="H21" i="29"/>
  <c r="I19" i="29"/>
  <c r="I18" i="29"/>
  <c r="D18" i="29"/>
  <c r="N20" i="29"/>
  <c r="G22" i="29"/>
  <c r="G20" i="29"/>
  <c r="L19" i="29"/>
  <c r="L18" i="29"/>
  <c r="G23" i="29"/>
  <c r="O19" i="29"/>
  <c r="O18" i="29"/>
  <c r="J20" i="29"/>
  <c r="O20" i="29"/>
  <c r="F18" i="29"/>
  <c r="C18" i="29"/>
  <c r="H19" i="29"/>
  <c r="H18" i="29"/>
  <c r="K19" i="29"/>
  <c r="K18" i="29"/>
  <c r="H23" i="29"/>
  <c r="M19" i="29"/>
  <c r="M18" i="29"/>
  <c r="H22" i="29"/>
  <c r="J19" i="29"/>
  <c r="J18" i="29"/>
  <c r="I20" i="29"/>
  <c r="L20" i="29"/>
  <c r="G21" i="29"/>
  <c r="H29" i="6"/>
  <c r="O26" i="6"/>
  <c r="G28" i="6"/>
  <c r="F24" i="6"/>
  <c r="M25" i="6"/>
  <c r="M24" i="6"/>
  <c r="G25" i="6"/>
  <c r="G24" i="6"/>
  <c r="C24" i="6"/>
  <c r="I26" i="6"/>
  <c r="J25" i="6"/>
  <c r="J24" i="6"/>
  <c r="D24" i="6"/>
  <c r="J26" i="6"/>
  <c r="I25" i="6"/>
  <c r="I24" i="6"/>
  <c r="K25" i="6"/>
  <c r="K24" i="6"/>
  <c r="M26" i="6"/>
  <c r="H27" i="6"/>
  <c r="G26" i="6"/>
  <c r="K26" i="6"/>
  <c r="E24" i="6"/>
  <c r="L25" i="6"/>
  <c r="L24" i="6"/>
  <c r="H26" i="6"/>
  <c r="L26" i="6"/>
  <c r="G29" i="6"/>
  <c r="N26" i="6"/>
  <c r="O25" i="6"/>
  <c r="O24" i="6"/>
  <c r="H28" i="6"/>
  <c r="N25" i="6"/>
  <c r="N24" i="6"/>
  <c r="H25" i="6"/>
  <c r="H24" i="6"/>
  <c r="G27" i="6"/>
  <c r="H8" i="29"/>
  <c r="H9" i="29"/>
  <c r="G8" i="29"/>
  <c r="N7" i="29"/>
  <c r="N6" i="29"/>
  <c r="H11" i="29"/>
  <c r="I8" i="29"/>
  <c r="O7" i="29"/>
  <c r="O6" i="29"/>
  <c r="O8" i="29"/>
  <c r="G10" i="29"/>
  <c r="K8" i="29"/>
  <c r="J7" i="29"/>
  <c r="J6" i="29"/>
  <c r="L8" i="29"/>
  <c r="C6" i="29"/>
  <c r="L7" i="29"/>
  <c r="L6" i="29"/>
  <c r="H7" i="29"/>
  <c r="H6" i="29"/>
  <c r="J8" i="29"/>
  <c r="D6" i="29"/>
  <c r="G7" i="29"/>
  <c r="G6" i="29"/>
  <c r="G9" i="29"/>
  <c r="K7" i="29"/>
  <c r="K6" i="29"/>
  <c r="N8" i="29"/>
  <c r="G11" i="29"/>
  <c r="M7" i="29"/>
  <c r="M6" i="29"/>
  <c r="F6" i="29"/>
  <c r="E6" i="29"/>
  <c r="M8" i="29"/>
  <c r="H10" i="29"/>
  <c r="I7" i="29"/>
  <c r="I6" i="29"/>
  <c r="L31" i="6"/>
  <c r="L30" i="6"/>
  <c r="N32" i="6"/>
  <c r="O32" i="6"/>
  <c r="N31" i="6"/>
  <c r="N30" i="6"/>
  <c r="G31" i="6"/>
  <c r="G30" i="6"/>
  <c r="H33" i="6"/>
  <c r="G34" i="6"/>
  <c r="K31" i="6"/>
  <c r="K30" i="6"/>
  <c r="G33" i="6"/>
  <c r="K32" i="6"/>
  <c r="I32" i="6"/>
  <c r="H35" i="6"/>
  <c r="M32" i="6"/>
  <c r="E30" i="6"/>
  <c r="I31" i="6"/>
  <c r="I30" i="6"/>
  <c r="G32" i="6"/>
  <c r="D30" i="6"/>
  <c r="L32" i="6"/>
  <c r="H31" i="6"/>
  <c r="H30" i="6"/>
  <c r="O31" i="6"/>
  <c r="O30" i="6"/>
  <c r="H34" i="6"/>
  <c r="J32" i="6"/>
  <c r="G35" i="6"/>
  <c r="H32" i="6"/>
  <c r="M31" i="6"/>
  <c r="M30" i="6"/>
  <c r="J31" i="6"/>
  <c r="J30" i="6"/>
  <c r="F30" i="6"/>
  <c r="C30" i="6"/>
  <c r="C36" i="6"/>
  <c r="K38" i="6"/>
  <c r="I37" i="6"/>
  <c r="I36" i="6"/>
  <c r="G37" i="6"/>
  <c r="G36" i="6"/>
  <c r="L38" i="6"/>
  <c r="O37" i="6"/>
  <c r="O36" i="6"/>
  <c r="H37" i="6"/>
  <c r="H36" i="6"/>
  <c r="N38" i="6"/>
  <c r="K37" i="6"/>
  <c r="K36" i="6"/>
  <c r="I38" i="6"/>
  <c r="M38" i="6"/>
  <c r="G39" i="6"/>
  <c r="L37" i="6"/>
  <c r="L36" i="6"/>
  <c r="H39" i="6"/>
  <c r="N37" i="6"/>
  <c r="N36" i="6"/>
  <c r="G41" i="6"/>
  <c r="J37" i="6"/>
  <c r="J36" i="6"/>
  <c r="O38" i="6"/>
  <c r="H38" i="6"/>
  <c r="M37" i="6"/>
  <c r="M36" i="6"/>
  <c r="G38" i="6"/>
  <c r="J38" i="6"/>
  <c r="G40" i="6"/>
  <c r="H41" i="6"/>
  <c r="D36" i="6"/>
  <c r="F36" i="6"/>
  <c r="E36" i="6"/>
  <c r="H40" i="6"/>
  <c r="P6" i="29"/>
  <c r="P24" i="6"/>
  <c r="P6" i="6"/>
  <c r="Q12" i="6"/>
  <c r="P30" i="6"/>
  <c r="P48" i="29"/>
  <c r="P36" i="29"/>
  <c r="P36" i="6"/>
  <c r="Q42" i="6"/>
  <c r="P30" i="29"/>
  <c r="Q36" i="29"/>
  <c r="Q24" i="6"/>
  <c r="P42" i="29"/>
  <c r="Q48" i="29"/>
  <c r="P48" i="6"/>
  <c r="Q48" i="6"/>
  <c r="P18" i="29"/>
  <c r="Q24" i="29"/>
  <c r="P24" i="29"/>
  <c r="P12" i="29"/>
  <c r="Q18" i="29"/>
  <c r="Q30" i="29"/>
  <c r="Q36" i="6"/>
  <c r="Q42" i="29"/>
  <c r="Q30" i="6"/>
  <c r="Q12" i="29"/>
  <c r="J16" i="5" l="1"/>
  <c r="C44" i="28"/>
  <c r="E44" i="28"/>
  <c r="J17" i="5"/>
  <c r="J19" i="5"/>
  <c r="J18" i="5"/>
  <c r="H14" i="34"/>
  <c r="H16" i="34"/>
  <c r="H15" i="34"/>
  <c r="H12" i="34"/>
  <c r="H13" i="34"/>
  <c r="H6" i="34"/>
  <c r="H4" i="34"/>
  <c r="H7" i="34"/>
  <c r="H5" i="34"/>
  <c r="H8" i="34"/>
</calcChain>
</file>

<file path=xl/sharedStrings.xml><?xml version="1.0" encoding="utf-8"?>
<sst xmlns="http://schemas.openxmlformats.org/spreadsheetml/2006/main" count="895" uniqueCount="378">
  <si>
    <t>射座</t>
    <rPh sb="0" eb="1">
      <t>シャ</t>
    </rPh>
    <rPh sb="1" eb="2">
      <t>ザ</t>
    </rPh>
    <phoneticPr fontId="1"/>
  </si>
  <si>
    <t>氏　　名</t>
    <rPh sb="0" eb="1">
      <t>シ</t>
    </rPh>
    <rPh sb="3" eb="4">
      <t>メイ</t>
    </rPh>
    <phoneticPr fontId="1"/>
  </si>
  <si>
    <t>学　校</t>
    <rPh sb="0" eb="1">
      <t>ガク</t>
    </rPh>
    <rPh sb="2" eb="3">
      <t>コウ</t>
    </rPh>
    <phoneticPr fontId="1"/>
  </si>
  <si>
    <t>合　計</t>
    <rPh sb="0" eb="1">
      <t>ゴウ</t>
    </rPh>
    <rPh sb="2" eb="3">
      <t>ケイ</t>
    </rPh>
    <phoneticPr fontId="1"/>
  </si>
  <si>
    <t>順位</t>
    <rPh sb="0" eb="2">
      <t>ジュンイ</t>
    </rPh>
    <phoneticPr fontId="1"/>
  </si>
  <si>
    <t>合計点</t>
    <rPh sb="0" eb="3">
      <t>ゴウケイテン</t>
    </rPh>
    <phoneticPr fontId="1"/>
  </si>
  <si>
    <t>チーム名</t>
    <rPh sb="3" eb="4">
      <t>メイ</t>
    </rPh>
    <phoneticPr fontId="1"/>
  </si>
  <si>
    <t>得　点</t>
    <rPh sb="0" eb="1">
      <t>トク</t>
    </rPh>
    <rPh sb="2" eb="3">
      <t>テン</t>
    </rPh>
    <phoneticPr fontId="1"/>
  </si>
  <si>
    <t>合計</t>
    <rPh sb="0" eb="2">
      <t>ゴウケイ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</si>
  <si>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</si>
  <si>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</si>
  <si>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各位</t>
    <rPh sb="0" eb="2">
      <t>カクイ</t>
    </rPh>
    <phoneticPr fontId="1"/>
  </si>
  <si>
    <t>備考</t>
    <rPh sb="0" eb="2">
      <t>ビコウ</t>
    </rPh>
    <phoneticPr fontId="1"/>
  </si>
  <si>
    <t>連絡先</t>
    <rPh sb="0" eb="3">
      <t>レンラクサキ</t>
    </rPh>
    <phoneticPr fontId="1"/>
  </si>
  <si>
    <t>競技上の注意・連絡</t>
  </si>
  <si>
    <t>競技時間</t>
  </si>
  <si>
    <t>表彰式・閉会式</t>
  </si>
  <si>
    <t>この大会は「岐阜県補助事業」です</t>
  </si>
  <si>
    <t>専門部長</t>
  </si>
  <si>
    <t>競技役員</t>
  </si>
  <si>
    <t>（済美高等学校）</t>
  </si>
  <si>
    <t>（鶯谷高等学校）</t>
  </si>
  <si>
    <t>（岐阜県ライフル射撃協会）</t>
  </si>
  <si>
    <t>　　（総務）</t>
  </si>
  <si>
    <t>補助員</t>
  </si>
  <si>
    <t>各高等学校射撃部生徒</t>
  </si>
  <si>
    <t>本選</t>
    <rPh sb="0" eb="2">
      <t>ホンセン</t>
    </rPh>
    <phoneticPr fontId="1"/>
  </si>
  <si>
    <t>（大垣日本大学高等学校）</t>
    <rPh sb="1" eb="3">
      <t>オオガキ</t>
    </rPh>
    <rPh sb="3" eb="5">
      <t>ニホン</t>
    </rPh>
    <rPh sb="5" eb="7">
      <t>ダイガク</t>
    </rPh>
    <phoneticPr fontId="1"/>
  </si>
  <si>
    <t>県高体連ライフル射撃専門委員長</t>
    <rPh sb="0" eb="1">
      <t>ケン</t>
    </rPh>
    <rPh sb="1" eb="4">
      <t>コウタイレン</t>
    </rPh>
    <rPh sb="8" eb="10">
      <t>シャゲキ</t>
    </rPh>
    <rPh sb="10" eb="12">
      <t>センモン</t>
    </rPh>
    <rPh sb="12" eb="15">
      <t>イインチョウ</t>
    </rPh>
    <phoneticPr fontId="1"/>
  </si>
  <si>
    <t>※各射群の終了時刻により時間を繰り上げる場合がある</t>
    <rPh sb="1" eb="2">
      <t>カク</t>
    </rPh>
    <rPh sb="2" eb="3">
      <t>シャ</t>
    </rPh>
    <rPh sb="3" eb="4">
      <t>グン</t>
    </rPh>
    <rPh sb="5" eb="7">
      <t>シュウリョウ</t>
    </rPh>
    <rPh sb="7" eb="9">
      <t>ジコク</t>
    </rPh>
    <phoneticPr fontId="1"/>
  </si>
  <si>
    <t>関有知</t>
    <rPh sb="0" eb="1">
      <t>セキ</t>
    </rPh>
    <rPh sb="1" eb="2">
      <t>ウ</t>
    </rPh>
    <rPh sb="2" eb="3">
      <t>チ</t>
    </rPh>
    <phoneticPr fontId="1"/>
  </si>
  <si>
    <t>BR　男子団体戦</t>
    <rPh sb="3" eb="5">
      <t>ダンシ</t>
    </rPh>
    <rPh sb="5" eb="8">
      <t>ダンタイセン</t>
    </rPh>
    <phoneticPr fontId="1"/>
  </si>
  <si>
    <t>BR　女子団体戦</t>
    <rPh sb="3" eb="5">
      <t>ジョシ</t>
    </rPh>
    <rPh sb="5" eb="8">
      <t>ダンタイセン</t>
    </rPh>
    <phoneticPr fontId="1"/>
  </si>
  <si>
    <t>伊藤　幸照</t>
    <rPh sb="0" eb="2">
      <t>イトウ</t>
    </rPh>
    <rPh sb="3" eb="5">
      <t>ユキテル</t>
    </rPh>
    <phoneticPr fontId="1"/>
  </si>
  <si>
    <t>第1射群</t>
    <phoneticPr fontId="1"/>
  </si>
  <si>
    <t>第2射群</t>
    <phoneticPr fontId="1"/>
  </si>
  <si>
    <t>BR・BPの部　日程</t>
    <phoneticPr fontId="1"/>
  </si>
  <si>
    <t>第3射群</t>
    <phoneticPr fontId="1"/>
  </si>
  <si>
    <t>第4射群</t>
    <rPh sb="0" eb="1">
      <t>ダイ</t>
    </rPh>
    <rPh sb="2" eb="3">
      <t>シャ</t>
    </rPh>
    <rPh sb="3" eb="4">
      <t>グン</t>
    </rPh>
    <phoneticPr fontId="1"/>
  </si>
  <si>
    <t>BR・BPの部</t>
    <phoneticPr fontId="1"/>
  </si>
  <si>
    <t>位</t>
    <rPh sb="0" eb="1">
      <t>イ</t>
    </rPh>
    <phoneticPr fontId="1"/>
  </si>
  <si>
    <t>AR（エアライフル）個人</t>
    <rPh sb="10" eb="12">
      <t>コジン</t>
    </rPh>
    <phoneticPr fontId="1"/>
  </si>
  <si>
    <t>BR（ビームライフル）団体</t>
    <rPh sb="11" eb="13">
      <t>ダンタイ</t>
    </rPh>
    <phoneticPr fontId="1"/>
  </si>
  <si>
    <t>BR（ビームライフル）個人</t>
    <rPh sb="11" eb="13">
      <t>コジン</t>
    </rPh>
    <phoneticPr fontId="1"/>
  </si>
  <si>
    <t>AR</t>
    <phoneticPr fontId="1"/>
  </si>
  <si>
    <t>期日</t>
  </si>
  <si>
    <t>会場</t>
  </si>
  <si>
    <t>使用標的</t>
    <rPh sb="0" eb="2">
      <t>シヨウ</t>
    </rPh>
    <rPh sb="2" eb="4">
      <t>ヒョウテキ</t>
    </rPh>
    <phoneticPr fontId="1"/>
  </si>
  <si>
    <t>BR</t>
    <phoneticPr fontId="1"/>
  </si>
  <si>
    <t>BP</t>
    <phoneticPr fontId="1"/>
  </si>
  <si>
    <t>A</t>
    <phoneticPr fontId="1"/>
  </si>
  <si>
    <t>B</t>
    <phoneticPr fontId="1"/>
  </si>
  <si>
    <t>G</t>
    <phoneticPr fontId="1"/>
  </si>
  <si>
    <t>1st ステージ</t>
    <phoneticPr fontId="1"/>
  </si>
  <si>
    <t>2nd ステージ</t>
    <phoneticPr fontId="1"/>
  </si>
  <si>
    <t>得点差</t>
    <rPh sb="0" eb="2">
      <t>トクテン</t>
    </rPh>
    <rPh sb="2" eb="3">
      <t>サ</t>
    </rPh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</si>
  <si>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</si>
  <si>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</si>
  <si>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</si>
  <si>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</si>
  <si>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H</t>
    <phoneticPr fontId="1"/>
  </si>
  <si>
    <t>1st</t>
    <phoneticPr fontId="1"/>
  </si>
  <si>
    <t>2nd</t>
    <phoneticPr fontId="1"/>
  </si>
  <si>
    <t>BR男子　ファイナル</t>
    <phoneticPr fontId="1"/>
  </si>
  <si>
    <t>BR女子　ファイナル</t>
    <rPh sb="2" eb="4">
      <t>ジョシ</t>
    </rPh>
    <phoneticPr fontId="1"/>
  </si>
  <si>
    <t>電子標的</t>
    <rPh sb="0" eb="2">
      <t>デンシ</t>
    </rPh>
    <phoneticPr fontId="1"/>
  </si>
  <si>
    <t>第1射群</t>
  </si>
  <si>
    <t>第2射群</t>
  </si>
  <si>
    <t>済美</t>
    <rPh sb="0" eb="1">
      <t>サイ</t>
    </rPh>
    <rPh sb="1" eb="2">
      <t>ビ</t>
    </rPh>
    <phoneticPr fontId="1"/>
  </si>
  <si>
    <t>鴬谷</t>
    <rPh sb="0" eb="1">
      <t>ウグイス</t>
    </rPh>
    <rPh sb="1" eb="2">
      <t>ダニ</t>
    </rPh>
    <phoneticPr fontId="1"/>
  </si>
  <si>
    <t>１２：５０～１３：２７</t>
    <phoneticPr fontId="1"/>
  </si>
  <si>
    <t>１３：４０～１４：１５</t>
    <phoneticPr fontId="1"/>
  </si>
  <si>
    <t>BＰ　女子団体戦</t>
    <rPh sb="3" eb="5">
      <t>ジョシ</t>
    </rPh>
    <rPh sb="5" eb="8">
      <t>ダンタイセン</t>
    </rPh>
    <phoneticPr fontId="1"/>
  </si>
  <si>
    <t>BP　男子団体戦</t>
    <rPh sb="3" eb="5">
      <t>ダンシ</t>
    </rPh>
    <rPh sb="5" eb="8">
      <t>ダンタイセン</t>
    </rPh>
    <phoneticPr fontId="1"/>
  </si>
  <si>
    <t>岐阜県立関有知高校射撃場</t>
    <phoneticPr fontId="1"/>
  </si>
  <si>
    <t>ＢR・ＢＰの部</t>
    <phoneticPr fontId="1"/>
  </si>
  <si>
    <t>（関有知高等学校長）</t>
    <rPh sb="8" eb="9">
      <t>チョウ</t>
    </rPh>
    <phoneticPr fontId="1"/>
  </si>
  <si>
    <t>（関有知高等学校）</t>
    <rPh sb="1" eb="2">
      <t>セキ</t>
    </rPh>
    <rPh sb="2" eb="3">
      <t>ウ</t>
    </rPh>
    <rPh sb="3" eb="4">
      <t>チ</t>
    </rPh>
    <rPh sb="4" eb="6">
      <t>コウトウ</t>
    </rPh>
    <rPh sb="6" eb="8">
      <t>ガッコウ</t>
    </rPh>
    <phoneticPr fontId="1"/>
  </si>
  <si>
    <t>（郡上北高等学校）</t>
    <phoneticPr fontId="1"/>
  </si>
  <si>
    <t>清水 寧　　</t>
    <rPh sb="0" eb="2">
      <t>シミズ</t>
    </rPh>
    <rPh sb="3" eb="4">
      <t>ヤスシ</t>
    </rPh>
    <phoneticPr fontId="1"/>
  </si>
  <si>
    <t>水野　賢利</t>
    <rPh sb="0" eb="2">
      <t>ミズノ</t>
    </rPh>
    <rPh sb="3" eb="4">
      <t>ケン</t>
    </rPh>
    <rPh sb="4" eb="5">
      <t>リ</t>
    </rPh>
    <phoneticPr fontId="1"/>
  </si>
  <si>
    <t>BP（ビームピストル）個人</t>
    <rPh sb="11" eb="13">
      <t>コジン</t>
    </rPh>
    <phoneticPr fontId="1"/>
  </si>
  <si>
    <t>BP（ビームピストル）団体</t>
    <rPh sb="11" eb="13">
      <t>ダンタイ</t>
    </rPh>
    <phoneticPr fontId="1"/>
  </si>
  <si>
    <t>第3射群</t>
  </si>
  <si>
    <t>（MW）</t>
  </si>
  <si>
    <t>連絡・片付け</t>
    <rPh sb="3" eb="4">
      <t>カタ</t>
    </rPh>
    <rPh sb="4" eb="5">
      <t>ツ</t>
    </rPh>
    <phoneticPr fontId="1"/>
  </si>
  <si>
    <t>開会式（省略）</t>
    <rPh sb="4" eb="6">
      <t>ショウリャク</t>
    </rPh>
    <phoneticPr fontId="1"/>
  </si>
  <si>
    <t>省略（表彰状は各校に渡します）</t>
    <rPh sb="0" eb="2">
      <t>ショウリャク</t>
    </rPh>
    <rPh sb="3" eb="6">
      <t>ヒョウショウジョウ</t>
    </rPh>
    <rPh sb="7" eb="9">
      <t>カクコウ</t>
    </rPh>
    <rPh sb="10" eb="11">
      <t>ワタ</t>
    </rPh>
    <phoneticPr fontId="1"/>
  </si>
  <si>
    <t>岐阜県立関有知高校射撃場</t>
    <rPh sb="0" eb="3">
      <t>ギフケン</t>
    </rPh>
    <rPh sb="3" eb="4">
      <t>リツ</t>
    </rPh>
    <rPh sb="4" eb="5">
      <t>セキ</t>
    </rPh>
    <rPh sb="5" eb="6">
      <t>ウ</t>
    </rPh>
    <rPh sb="6" eb="7">
      <t>チ</t>
    </rPh>
    <rPh sb="7" eb="9">
      <t>コウコウ</t>
    </rPh>
    <rPh sb="9" eb="12">
      <t>シャゲキジョウ</t>
    </rPh>
    <phoneticPr fontId="1"/>
  </si>
  <si>
    <t xml:space="preserve"> 9：00 ～   9：45</t>
    <phoneticPr fontId="1"/>
  </si>
  <si>
    <t>10：10 ～ 10：55</t>
    <phoneticPr fontId="1"/>
  </si>
  <si>
    <t>11：20 ～ 12：05</t>
    <phoneticPr fontId="1"/>
  </si>
  <si>
    <t>12：30 ～ 13：15</t>
    <phoneticPr fontId="1"/>
  </si>
  <si>
    <t>10：10 ～ 10：55</t>
  </si>
  <si>
    <t>11：20 ～ 12：05</t>
  </si>
  <si>
    <t xml:space="preserve">第1射群   </t>
    <phoneticPr fontId="1"/>
  </si>
  <si>
    <t xml:space="preserve"> 9：00～ 9：45  　</t>
  </si>
  <si>
    <t xml:space="preserve">第4射群 </t>
    <phoneticPr fontId="1"/>
  </si>
  <si>
    <t>（MW）</t>
    <phoneticPr fontId="1"/>
  </si>
  <si>
    <t>AP</t>
    <phoneticPr fontId="1"/>
  </si>
  <si>
    <t>AR・APの部　日程</t>
    <rPh sb="6" eb="7">
      <t>ブ</t>
    </rPh>
    <phoneticPr fontId="1"/>
  </si>
  <si>
    <t>ＡR・APの部</t>
    <phoneticPr fontId="1"/>
  </si>
  <si>
    <t>済美高等学校射撃場</t>
    <rPh sb="0" eb="1">
      <t>サイ</t>
    </rPh>
    <rPh sb="1" eb="2">
      <t>ビ</t>
    </rPh>
    <phoneticPr fontId="1"/>
  </si>
  <si>
    <t>済美高校射撃場</t>
    <rPh sb="0" eb="1">
      <t>サイ</t>
    </rPh>
    <rPh sb="1" eb="2">
      <t>ビ</t>
    </rPh>
    <rPh sb="2" eb="4">
      <t>コウコウ</t>
    </rPh>
    <rPh sb="4" eb="7">
      <t>シャゲキジョウ</t>
    </rPh>
    <phoneticPr fontId="1"/>
  </si>
  <si>
    <t>辻　祥平</t>
    <rPh sb="0" eb="1">
      <t>ツジ</t>
    </rPh>
    <rPh sb="2" eb="4">
      <t>ショウヘイ</t>
    </rPh>
    <phoneticPr fontId="1"/>
  </si>
  <si>
    <t>AR・APの部</t>
    <phoneticPr fontId="1"/>
  </si>
  <si>
    <t>列1</t>
  </si>
  <si>
    <t>1</t>
  </si>
  <si>
    <t>2</t>
  </si>
  <si>
    <t>3</t>
  </si>
  <si>
    <t>4</t>
  </si>
  <si>
    <t>5</t>
  </si>
  <si>
    <t>6</t>
  </si>
  <si>
    <t>射座</t>
    <rPh sb="0" eb="2">
      <t>シャザ</t>
    </rPh>
    <phoneticPr fontId="1"/>
  </si>
  <si>
    <t>1-1</t>
    <phoneticPr fontId="1"/>
  </si>
  <si>
    <t>ID</t>
    <phoneticPr fontId="1"/>
  </si>
  <si>
    <t>学年</t>
    <rPh sb="0" eb="2">
      <t>ガクネン</t>
    </rPh>
    <phoneticPr fontId="1"/>
  </si>
  <si>
    <t>X</t>
    <phoneticPr fontId="1"/>
  </si>
  <si>
    <t>通番</t>
    <rPh sb="0" eb="2">
      <t>ツウバン</t>
    </rPh>
    <phoneticPr fontId="1"/>
  </si>
  <si>
    <t>列5</t>
  </si>
  <si>
    <t>エントリーリスト</t>
    <phoneticPr fontId="1"/>
  </si>
  <si>
    <t>氏名</t>
    <rPh sb="0" eb="2">
      <t>シメイ</t>
    </rPh>
    <phoneticPr fontId="1"/>
  </si>
  <si>
    <t>学校</t>
    <rPh sb="0" eb="2">
      <t>ガッコウ</t>
    </rPh>
    <phoneticPr fontId="1"/>
  </si>
  <si>
    <t>済美A</t>
    <rPh sb="0" eb="2">
      <t>セイビ</t>
    </rPh>
    <phoneticPr fontId="1"/>
  </si>
  <si>
    <t>関有知A</t>
    <rPh sb="0" eb="3">
      <t>セキウチ</t>
    </rPh>
    <phoneticPr fontId="1"/>
  </si>
  <si>
    <t>第１射群</t>
    <rPh sb="0" eb="1">
      <t>ダイ</t>
    </rPh>
    <rPh sb="2" eb="4">
      <t>シャグン</t>
    </rPh>
    <phoneticPr fontId="1"/>
  </si>
  <si>
    <t>第2射群</t>
    <rPh sb="0" eb="1">
      <t>ダイ</t>
    </rPh>
    <rPh sb="2" eb="4">
      <t>シャグン</t>
    </rPh>
    <phoneticPr fontId="1"/>
  </si>
  <si>
    <t>第３射群</t>
    <rPh sb="0" eb="1">
      <t>ダイ</t>
    </rPh>
    <rPh sb="2" eb="4">
      <t>シャグン</t>
    </rPh>
    <phoneticPr fontId="1"/>
  </si>
  <si>
    <t>第４射群</t>
    <rPh sb="0" eb="1">
      <t>ダイ</t>
    </rPh>
    <rPh sb="2" eb="4">
      <t>シャグン</t>
    </rPh>
    <phoneticPr fontId="1"/>
  </si>
  <si>
    <t>関有知A</t>
    <rPh sb="0" eb="1">
      <t>セキ</t>
    </rPh>
    <rPh sb="1" eb="2">
      <t>ウ</t>
    </rPh>
    <rPh sb="2" eb="3">
      <t>チ</t>
    </rPh>
    <phoneticPr fontId="1"/>
  </si>
  <si>
    <t>1-2</t>
    <phoneticPr fontId="1"/>
  </si>
  <si>
    <t>2-2</t>
    <phoneticPr fontId="1"/>
  </si>
  <si>
    <t>3-2</t>
    <phoneticPr fontId="1"/>
  </si>
  <si>
    <t>1-7</t>
    <phoneticPr fontId="1"/>
  </si>
  <si>
    <t>1-8</t>
    <phoneticPr fontId="1"/>
  </si>
  <si>
    <t>2-7</t>
    <phoneticPr fontId="1"/>
  </si>
  <si>
    <t>3-8</t>
  </si>
  <si>
    <t>3-9</t>
  </si>
  <si>
    <t>1-3</t>
    <phoneticPr fontId="1"/>
  </si>
  <si>
    <t>2-3</t>
    <phoneticPr fontId="1"/>
  </si>
  <si>
    <t>2-4</t>
    <phoneticPr fontId="1"/>
  </si>
  <si>
    <t>郡上北A</t>
    <rPh sb="0" eb="3">
      <t>グジョウキタ</t>
    </rPh>
    <phoneticPr fontId="1"/>
  </si>
  <si>
    <t>氏　　名2</t>
    <rPh sb="0" eb="1">
      <t>シメイ22</t>
    </rPh>
    <phoneticPr fontId="1"/>
  </si>
  <si>
    <t>得　点2</t>
    <rPh sb="0" eb="1">
      <t>トクテン3</t>
    </rPh>
    <phoneticPr fontId="1"/>
  </si>
  <si>
    <t>氏　　名3</t>
    <rPh sb="0" eb="1">
      <t>シメイ43</t>
    </rPh>
    <phoneticPr fontId="1"/>
  </si>
  <si>
    <t>得　点3</t>
    <rPh sb="0" eb="1">
      <t>トクテン5</t>
    </rPh>
    <phoneticPr fontId="1"/>
  </si>
  <si>
    <t>AP（エアピストル）個人</t>
    <rPh sb="10" eb="12">
      <t>コジン</t>
    </rPh>
    <phoneticPr fontId="1"/>
  </si>
  <si>
    <t>吉田　浩幸</t>
    <rPh sb="0" eb="2">
      <t>ヨシダ</t>
    </rPh>
    <rPh sb="3" eb="5">
      <t>ヒロユキ</t>
    </rPh>
    <phoneticPr fontId="1"/>
  </si>
  <si>
    <t>石徹白　悠平</t>
    <rPh sb="0" eb="3">
      <t>イトシロ</t>
    </rPh>
    <rPh sb="4" eb="6">
      <t>ユウヘイ</t>
    </rPh>
    <phoneticPr fontId="1"/>
  </si>
  <si>
    <t>田邉陸玖</t>
  </si>
  <si>
    <t>2-1</t>
    <phoneticPr fontId="1"/>
  </si>
  <si>
    <t>第2射群</t>
    <rPh sb="0" eb="1">
      <t>ダイ</t>
    </rPh>
    <rPh sb="2" eb="3">
      <t>シャ</t>
    </rPh>
    <rPh sb="3" eb="4">
      <t>グン</t>
    </rPh>
    <phoneticPr fontId="1"/>
  </si>
  <si>
    <t>9:00～10:15</t>
    <phoneticPr fontId="1"/>
  </si>
  <si>
    <t>岐阜県高校総体ライフル射撃競技　ARの部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19" eb="20">
      <t>ブ</t>
    </rPh>
    <phoneticPr fontId="1"/>
  </si>
  <si>
    <t>岐阜県高校総体ライフル射撃競技　APの部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19" eb="20">
      <t>ブ</t>
    </rPh>
    <phoneticPr fontId="1"/>
  </si>
  <si>
    <t>岐阜県高校総体ライフル射撃競技　BRの部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19" eb="20">
      <t>ブ</t>
    </rPh>
    <phoneticPr fontId="1"/>
  </si>
  <si>
    <t>岐阜県高校総体ライフル射撃競技　BPの部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19" eb="20">
      <t>ブ</t>
    </rPh>
    <phoneticPr fontId="1"/>
  </si>
  <si>
    <t>大垣日大A</t>
  </si>
  <si>
    <t>第５射群</t>
    <rPh sb="0" eb="1">
      <t>ダイ</t>
    </rPh>
    <rPh sb="2" eb="4">
      <t>シャグン</t>
    </rPh>
    <phoneticPr fontId="1"/>
  </si>
  <si>
    <t>4-2</t>
    <phoneticPr fontId="1"/>
  </si>
  <si>
    <t>第5射群</t>
    <rPh sb="0" eb="1">
      <t>ダイ</t>
    </rPh>
    <rPh sb="2" eb="4">
      <t>シャグン</t>
    </rPh>
    <phoneticPr fontId="1"/>
  </si>
  <si>
    <t>13：40 ～ 14：25</t>
    <phoneticPr fontId="1"/>
  </si>
  <si>
    <t>3-1</t>
    <phoneticPr fontId="1"/>
  </si>
  <si>
    <t>3-3</t>
    <phoneticPr fontId="1"/>
  </si>
  <si>
    <t>AR　男子団体戦</t>
    <rPh sb="3" eb="5">
      <t>ダンシ</t>
    </rPh>
    <rPh sb="5" eb="8">
      <t>ダンタイセン</t>
    </rPh>
    <phoneticPr fontId="1"/>
  </si>
  <si>
    <t>県立関有知高等学校射撃場</t>
    <rPh sb="0" eb="2">
      <t>ケンリツ</t>
    </rPh>
    <rPh sb="2" eb="5">
      <t>セキウチ</t>
    </rPh>
    <rPh sb="5" eb="9">
      <t>コウトウガッコウ</t>
    </rPh>
    <rPh sb="9" eb="12">
      <t>シャゲキジョウ</t>
    </rPh>
    <phoneticPr fontId="1"/>
  </si>
  <si>
    <t>AR　女子団体戦</t>
    <rPh sb="3" eb="5">
      <t>ジョシ</t>
    </rPh>
    <rPh sb="5" eb="8">
      <t>ダンタイセン</t>
    </rPh>
    <phoneticPr fontId="1"/>
  </si>
  <si>
    <t>AP　男子団体戦</t>
    <rPh sb="3" eb="5">
      <t>ダンシ</t>
    </rPh>
    <rPh sb="5" eb="8">
      <t>ダンタイセン</t>
    </rPh>
    <phoneticPr fontId="1"/>
  </si>
  <si>
    <t>鶯谷A</t>
  </si>
  <si>
    <t>岐阜県高校総体ライフル射撃競技AR（エアライフル）・AP（エアピストル）の部成績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37" eb="38">
      <t>ブ</t>
    </rPh>
    <rPh sb="38" eb="40">
      <t>セイセキ</t>
    </rPh>
    <phoneticPr fontId="1"/>
  </si>
  <si>
    <t>AR（エアライフル）団体</t>
    <rPh sb="10" eb="12">
      <t>ダンタイ</t>
    </rPh>
    <phoneticPr fontId="1"/>
  </si>
  <si>
    <t>岐阜県高校総体ライフル射撃競技ＢＲ（ビームライフル）・ＢＰ（ビームピストル）の部成績</t>
    <rPh sb="0" eb="3">
      <t>ギフケン</t>
    </rPh>
    <rPh sb="3" eb="5">
      <t>コウコウ</t>
    </rPh>
    <rPh sb="5" eb="7">
      <t>ソウタイ</t>
    </rPh>
    <rPh sb="11" eb="13">
      <t>シャゲキ</t>
    </rPh>
    <rPh sb="13" eb="15">
      <t>キョウギ</t>
    </rPh>
    <rPh sb="39" eb="40">
      <t>ブ</t>
    </rPh>
    <rPh sb="40" eb="42">
      <t>セイセキ</t>
    </rPh>
    <phoneticPr fontId="1"/>
  </si>
  <si>
    <t>AP（エアピストル）団体</t>
    <rPh sb="10" eb="12">
      <t>ダンタイ</t>
    </rPh>
    <phoneticPr fontId="1"/>
  </si>
  <si>
    <t>第5射群</t>
    <rPh sb="0" eb="1">
      <t>ダイ</t>
    </rPh>
    <rPh sb="2" eb="3">
      <t>シャ</t>
    </rPh>
    <rPh sb="3" eb="4">
      <t>グン</t>
    </rPh>
    <phoneticPr fontId="1"/>
  </si>
  <si>
    <t>1枚目/2枚中</t>
    <rPh sb="1" eb="3">
      <t>マイメ</t>
    </rPh>
    <rPh sb="5" eb="7">
      <t>マイチュウ</t>
    </rPh>
    <phoneticPr fontId="1"/>
  </si>
  <si>
    <t>2枚目/2枚中</t>
    <rPh sb="1" eb="3">
      <t>マイメ</t>
    </rPh>
    <rPh sb="5" eb="7">
      <t>マイチュウ</t>
    </rPh>
    <phoneticPr fontId="1"/>
  </si>
  <si>
    <t>令和8年度　</t>
    <rPh sb="0" eb="2">
      <t>レイワ</t>
    </rPh>
    <phoneticPr fontId="1"/>
  </si>
  <si>
    <t>徳田　恭実</t>
    <rPh sb="0" eb="2">
      <t>トクダ</t>
    </rPh>
    <rPh sb="3" eb="4">
      <t>キョウ</t>
    </rPh>
    <rPh sb="4" eb="5">
      <t>ミノル</t>
    </rPh>
    <phoneticPr fontId="1"/>
  </si>
  <si>
    <t>申請中</t>
    <rPh sb="0" eb="3">
      <t>シンセイチュウ</t>
    </rPh>
    <phoneticPr fontId="1"/>
  </si>
  <si>
    <t>4-1</t>
    <phoneticPr fontId="1"/>
  </si>
  <si>
    <t>5-1</t>
    <phoneticPr fontId="1"/>
  </si>
  <si>
    <t>1-4</t>
    <phoneticPr fontId="1"/>
  </si>
  <si>
    <t>女子（オープン参加）</t>
    <rPh sb="0" eb="2">
      <t>ジョシ</t>
    </rPh>
    <rPh sb="7" eb="9">
      <t>サンカ</t>
    </rPh>
    <phoneticPr fontId="1"/>
  </si>
  <si>
    <t>所属</t>
    <rPh sb="0" eb="2">
      <t>ショゾク</t>
    </rPh>
    <phoneticPr fontId="1"/>
  </si>
  <si>
    <t>11：00～12:15</t>
    <phoneticPr fontId="1"/>
  </si>
  <si>
    <t>（郡上北高等学校（専門委員長））</t>
    <rPh sb="1" eb="4">
      <t>グジョウキタ</t>
    </rPh>
    <rPh sb="4" eb="6">
      <t>コウトウ</t>
    </rPh>
    <rPh sb="9" eb="11">
      <t>センモン</t>
    </rPh>
    <rPh sb="11" eb="14">
      <t>イインチョウ</t>
    </rPh>
    <phoneticPr fontId="1"/>
  </si>
  <si>
    <t>進藤　健</t>
    <rPh sb="0" eb="2">
      <t>シンドウ</t>
    </rPh>
    <rPh sb="3" eb="4">
      <t>タケル</t>
    </rPh>
    <phoneticPr fontId="1"/>
  </si>
  <si>
    <t>澤頭 優汰</t>
    <phoneticPr fontId="1"/>
  </si>
  <si>
    <t>関谷　十糸子</t>
    <rPh sb="0" eb="2">
      <t>セキヤ</t>
    </rPh>
    <rPh sb="3" eb="4">
      <t>ト</t>
    </rPh>
    <rPh sb="4" eb="6">
      <t>イトコ</t>
    </rPh>
    <phoneticPr fontId="1"/>
  </si>
  <si>
    <t>1-5</t>
    <phoneticPr fontId="1"/>
  </si>
  <si>
    <t>2-5</t>
    <phoneticPr fontId="1"/>
  </si>
  <si>
    <t>3-4</t>
    <phoneticPr fontId="1"/>
  </si>
  <si>
    <t>3-5</t>
    <phoneticPr fontId="1"/>
  </si>
  <si>
    <t>4-4</t>
    <phoneticPr fontId="1"/>
  </si>
  <si>
    <t>4-5</t>
    <phoneticPr fontId="1"/>
  </si>
  <si>
    <t>5-4</t>
    <phoneticPr fontId="1"/>
  </si>
  <si>
    <t>5-5</t>
    <phoneticPr fontId="1"/>
  </si>
  <si>
    <t>関有知A</t>
    <phoneticPr fontId="1"/>
  </si>
  <si>
    <t>関有知B</t>
    <rPh sb="0" eb="1">
      <t>セキ</t>
    </rPh>
    <rPh sb="1" eb="2">
      <t>ウ</t>
    </rPh>
    <rPh sb="2" eb="3">
      <t>チ</t>
    </rPh>
    <phoneticPr fontId="1"/>
  </si>
  <si>
    <t>済美A</t>
    <phoneticPr fontId="1"/>
  </si>
  <si>
    <t>済美B</t>
    <phoneticPr fontId="1"/>
  </si>
  <si>
    <t>鶯谷A</t>
    <phoneticPr fontId="1"/>
  </si>
  <si>
    <t>大垣日大A</t>
    <phoneticPr fontId="1"/>
  </si>
  <si>
    <t>徳田　恭実</t>
    <phoneticPr fontId="1"/>
  </si>
  <si>
    <t>大垣日大B</t>
  </si>
  <si>
    <t>11:00～12:15</t>
    <phoneticPr fontId="1"/>
  </si>
  <si>
    <t>第6射群</t>
    <rPh sb="0" eb="1">
      <t>ダイ</t>
    </rPh>
    <rPh sb="2" eb="3">
      <t>シャ</t>
    </rPh>
    <rPh sb="3" eb="4">
      <t>グン</t>
    </rPh>
    <phoneticPr fontId="1"/>
  </si>
  <si>
    <t>0575-82-2073</t>
    <phoneticPr fontId="1"/>
  </si>
  <si>
    <t>岐阜県高等学校新人大会ライフル射撃競技</t>
    <rPh sb="3" eb="7">
      <t>コウトウガッコウ</t>
    </rPh>
    <rPh sb="7" eb="11">
      <t>シンジンタイカイ</t>
    </rPh>
    <phoneticPr fontId="1"/>
  </si>
  <si>
    <t>令和8年10月17日（土）</t>
    <rPh sb="0" eb="2">
      <t>レイワ</t>
    </rPh>
    <rPh sb="11" eb="12">
      <t>ド</t>
    </rPh>
    <phoneticPr fontId="1"/>
  </si>
  <si>
    <t>令和8年10月18日（日）</t>
    <rPh sb="0" eb="2">
      <t>レイワ</t>
    </rPh>
    <rPh sb="6" eb="7">
      <t>ガツ</t>
    </rPh>
    <phoneticPr fontId="1"/>
  </si>
  <si>
    <t>10月17日（土）</t>
    <rPh sb="2" eb="3">
      <t>ガツ</t>
    </rPh>
    <rPh sb="5" eb="6">
      <t>ニチ</t>
    </rPh>
    <rPh sb="7" eb="8">
      <t>ド</t>
    </rPh>
    <phoneticPr fontId="1"/>
  </si>
  <si>
    <t>10月18日（日）</t>
    <rPh sb="2" eb="3">
      <t>ガツ</t>
    </rPh>
    <rPh sb="5" eb="6">
      <t>ニチ</t>
    </rPh>
    <rPh sb="7" eb="8">
      <t>ニチ</t>
    </rPh>
    <phoneticPr fontId="1"/>
  </si>
  <si>
    <t>小竹　莞太郎</t>
    <rPh sb="0" eb="2">
      <t xml:space="preserve">コタケ </t>
    </rPh>
    <rPh sb="3" eb="4">
      <t>KAN</t>
    </rPh>
    <rPh sb="4" eb="6">
      <t xml:space="preserve">タロウ </t>
    </rPh>
    <phoneticPr fontId="1"/>
  </si>
  <si>
    <t>鶯谷</t>
    <rPh sb="0" eb="2">
      <t>ウグイスダニ</t>
    </rPh>
    <phoneticPr fontId="1"/>
  </si>
  <si>
    <t>松丸　葵</t>
    <rPh sb="0" eb="2">
      <t xml:space="preserve">マツマル </t>
    </rPh>
    <rPh sb="3" eb="4">
      <t xml:space="preserve">アオイ </t>
    </rPh>
    <phoneticPr fontId="1"/>
  </si>
  <si>
    <t>申請中</t>
    <rPh sb="0" eb="3">
      <t xml:space="preserve">シンセイチュウ </t>
    </rPh>
    <phoneticPr fontId="1"/>
  </si>
  <si>
    <t>澤田　茉利</t>
    <rPh sb="0" eb="2">
      <t xml:space="preserve">サワダ </t>
    </rPh>
    <rPh sb="3" eb="4">
      <t>マリ</t>
    </rPh>
    <rPh sb="4" eb="5">
      <t xml:space="preserve">リヨウ </t>
    </rPh>
    <phoneticPr fontId="1"/>
  </si>
  <si>
    <t>申請中</t>
    <rPh sb="0" eb="1">
      <t xml:space="preserve">シンセイチュウ </t>
    </rPh>
    <phoneticPr fontId="1"/>
  </si>
  <si>
    <t>安藤　凛</t>
    <rPh sb="0" eb="2">
      <t xml:space="preserve">アンドウ </t>
    </rPh>
    <rPh sb="3" eb="4">
      <t xml:space="preserve">リン </t>
    </rPh>
    <phoneticPr fontId="1"/>
  </si>
  <si>
    <t>鶯谷A</t>
    <rPh sb="0" eb="1">
      <t>ウグイス</t>
    </rPh>
    <rPh sb="1" eb="2">
      <t>タニ</t>
    </rPh>
    <phoneticPr fontId="1"/>
  </si>
  <si>
    <t>清原　隼</t>
    <rPh sb="0" eb="2">
      <t xml:space="preserve">キヨハラ </t>
    </rPh>
    <rPh sb="3" eb="4">
      <t xml:space="preserve">シュン </t>
    </rPh>
    <phoneticPr fontId="1"/>
  </si>
  <si>
    <t>山梨　功晴</t>
    <rPh sb="0" eb="2">
      <t xml:space="preserve">ヤマナシ </t>
    </rPh>
    <rPh sb="3" eb="4">
      <t xml:space="preserve">コウザイ </t>
    </rPh>
    <rPh sb="4" eb="5">
      <t xml:space="preserve">ハレル </t>
    </rPh>
    <phoneticPr fontId="1"/>
  </si>
  <si>
    <t>小森　翔太</t>
    <rPh sb="0" eb="2">
      <t xml:space="preserve">コモリ </t>
    </rPh>
    <rPh sb="3" eb="5">
      <t xml:space="preserve">ショウタ </t>
    </rPh>
    <phoneticPr fontId="1"/>
  </si>
  <si>
    <t>鶯谷</t>
    <rPh sb="0" eb="1">
      <t>ウグイス</t>
    </rPh>
    <rPh sb="1" eb="2">
      <t>タニ</t>
    </rPh>
    <phoneticPr fontId="1"/>
  </si>
  <si>
    <t>藤井　音緒</t>
    <rPh sb="0" eb="2">
      <t xml:space="preserve">フジイ </t>
    </rPh>
    <rPh sb="3" eb="4">
      <t xml:space="preserve">オト </t>
    </rPh>
    <rPh sb="4" eb="5">
      <t xml:space="preserve">オ </t>
    </rPh>
    <phoneticPr fontId="1"/>
  </si>
  <si>
    <t>東　莉杏</t>
    <rPh sb="0" eb="1">
      <t xml:space="preserve">ヒガシ </t>
    </rPh>
    <rPh sb="2" eb="3">
      <t xml:space="preserve">リ </t>
    </rPh>
    <rPh sb="3" eb="4">
      <t xml:space="preserve">アンズ </t>
    </rPh>
    <phoneticPr fontId="1"/>
  </si>
  <si>
    <t>加藤　葵</t>
    <rPh sb="0" eb="2">
      <t xml:space="preserve">カトウ </t>
    </rPh>
    <rPh sb="3" eb="4">
      <t xml:space="preserve">アオイ </t>
    </rPh>
    <phoneticPr fontId="1"/>
  </si>
  <si>
    <t>鶯谷A</t>
    <rPh sb="0" eb="2">
      <t>ウグイスダニ</t>
    </rPh>
    <phoneticPr fontId="1"/>
  </si>
  <si>
    <t>浅野　海空</t>
    <rPh sb="0" eb="2">
      <t>アサノ</t>
    </rPh>
    <rPh sb="3" eb="4">
      <t>ウミ</t>
    </rPh>
    <rPh sb="4" eb="5">
      <t>ソラ</t>
    </rPh>
    <phoneticPr fontId="1"/>
  </si>
  <si>
    <t>関有知</t>
    <phoneticPr fontId="1"/>
  </si>
  <si>
    <t>春日井　月暉</t>
    <rPh sb="0" eb="3">
      <t>カスガイ</t>
    </rPh>
    <rPh sb="4" eb="5">
      <t>ツキ</t>
    </rPh>
    <rPh sb="5" eb="6">
      <t>キ</t>
    </rPh>
    <phoneticPr fontId="1"/>
  </si>
  <si>
    <t>永澤　京誠</t>
    <rPh sb="0" eb="2">
      <t>ナガサワ</t>
    </rPh>
    <rPh sb="3" eb="4">
      <t>キョウ</t>
    </rPh>
    <rPh sb="4" eb="5">
      <t>マコト</t>
    </rPh>
    <phoneticPr fontId="1"/>
  </si>
  <si>
    <t>澤村　実槻</t>
    <rPh sb="0" eb="2">
      <t>サワムラ</t>
    </rPh>
    <rPh sb="3" eb="4">
      <t>ミ</t>
    </rPh>
    <rPh sb="4" eb="5">
      <t>ツキ</t>
    </rPh>
    <phoneticPr fontId="1"/>
  </si>
  <si>
    <t>平田　リュウ</t>
    <rPh sb="0" eb="2">
      <t>ヒラタ</t>
    </rPh>
    <phoneticPr fontId="1"/>
  </si>
  <si>
    <t>辻　照永</t>
    <rPh sb="0" eb="1">
      <t>ツジ</t>
    </rPh>
    <rPh sb="2" eb="4">
      <t>テルナガ</t>
    </rPh>
    <phoneticPr fontId="1"/>
  </si>
  <si>
    <t>岩本　武士</t>
    <rPh sb="0" eb="2">
      <t>イワモト</t>
    </rPh>
    <rPh sb="3" eb="5">
      <t>ブシ</t>
    </rPh>
    <phoneticPr fontId="1"/>
  </si>
  <si>
    <t>日比野　優真</t>
    <rPh sb="0" eb="3">
      <t>ヒビノ</t>
    </rPh>
    <rPh sb="4" eb="6">
      <t>ユウマ</t>
    </rPh>
    <phoneticPr fontId="1"/>
  </si>
  <si>
    <t>関有知B</t>
    <phoneticPr fontId="1"/>
  </si>
  <si>
    <t>吉田　実咲希</t>
    <rPh sb="0" eb="2">
      <t>ヨシダ</t>
    </rPh>
    <rPh sb="3" eb="4">
      <t>ミ</t>
    </rPh>
    <rPh sb="4" eb="5">
      <t>サ</t>
    </rPh>
    <phoneticPr fontId="1"/>
  </si>
  <si>
    <t>後藤　小日芽</t>
    <rPh sb="0" eb="2">
      <t>ゴトウ</t>
    </rPh>
    <rPh sb="3" eb="4">
      <t>チイ</t>
    </rPh>
    <rPh sb="4" eb="5">
      <t>ヒ</t>
    </rPh>
    <rPh sb="5" eb="6">
      <t>メ</t>
    </rPh>
    <phoneticPr fontId="1"/>
  </si>
  <si>
    <t>押田　雪那</t>
    <rPh sb="0" eb="2">
      <t>オシダ</t>
    </rPh>
    <rPh sb="3" eb="4">
      <t>ユキ</t>
    </rPh>
    <rPh sb="4" eb="5">
      <t>ナ</t>
    </rPh>
    <phoneticPr fontId="1"/>
  </si>
  <si>
    <t>宮﨑　波</t>
    <rPh sb="0" eb="2">
      <t>ミヤザキ</t>
    </rPh>
    <rPh sb="3" eb="4">
      <t>ナミ</t>
    </rPh>
    <phoneticPr fontId="1"/>
  </si>
  <si>
    <t>西村　翔真</t>
    <rPh sb="0" eb="2">
      <t>ニシムラ</t>
    </rPh>
    <rPh sb="3" eb="5">
      <t>ショウマ</t>
    </rPh>
    <phoneticPr fontId="1"/>
  </si>
  <si>
    <t>山田　流空</t>
    <rPh sb="0" eb="2">
      <t>ヤマダ</t>
    </rPh>
    <rPh sb="3" eb="4">
      <t>ナガ</t>
    </rPh>
    <rPh sb="4" eb="5">
      <t>ソラ</t>
    </rPh>
    <phoneticPr fontId="1"/>
  </si>
  <si>
    <t>棚橋　隼</t>
    <rPh sb="0" eb="2">
      <t>タナハシ</t>
    </rPh>
    <rPh sb="3" eb="4">
      <t>シュン</t>
    </rPh>
    <phoneticPr fontId="1"/>
  </si>
  <si>
    <t>古田聖莉奈</t>
    <rPh sb="0" eb="2">
      <t>フルタ</t>
    </rPh>
    <rPh sb="2" eb="3">
      <t>セイ</t>
    </rPh>
    <rPh sb="3" eb="4">
      <t>リ</t>
    </rPh>
    <rPh sb="4" eb="5">
      <t>ナ</t>
    </rPh>
    <phoneticPr fontId="1"/>
  </si>
  <si>
    <t>加藤　凜</t>
    <rPh sb="0" eb="2">
      <t>カトウ</t>
    </rPh>
    <rPh sb="3" eb="4">
      <t>リン</t>
    </rPh>
    <phoneticPr fontId="1"/>
  </si>
  <si>
    <t>福田　隆人</t>
    <rPh sb="0" eb="2">
      <t>フクダ</t>
    </rPh>
    <rPh sb="3" eb="5">
      <t>リュウト</t>
    </rPh>
    <phoneticPr fontId="1"/>
  </si>
  <si>
    <t>田邉　陸玖</t>
    <rPh sb="0" eb="2">
      <t>タナベ</t>
    </rPh>
    <rPh sb="3" eb="5">
      <t>リク</t>
    </rPh>
    <phoneticPr fontId="1"/>
  </si>
  <si>
    <t>井口　蒼太</t>
    <rPh sb="0" eb="2">
      <t>イグチ</t>
    </rPh>
    <rPh sb="3" eb="5">
      <t>ソウタ</t>
    </rPh>
    <phoneticPr fontId="1"/>
  </si>
  <si>
    <t>済美</t>
    <phoneticPr fontId="1"/>
  </si>
  <si>
    <t>田中　玲衣</t>
    <rPh sb="0" eb="2">
      <t>タナカ</t>
    </rPh>
    <rPh sb="3" eb="4">
      <t>レイ</t>
    </rPh>
    <rPh sb="4" eb="5">
      <t>コロモ</t>
    </rPh>
    <phoneticPr fontId="1"/>
  </si>
  <si>
    <t>森嶋　礼真</t>
    <rPh sb="0" eb="2">
      <t>モリシマ</t>
    </rPh>
    <rPh sb="3" eb="4">
      <t>レイ</t>
    </rPh>
    <rPh sb="4" eb="5">
      <t>マコト</t>
    </rPh>
    <phoneticPr fontId="1"/>
  </si>
  <si>
    <t>玉木　心晴</t>
    <rPh sb="0" eb="2">
      <t>タマキ</t>
    </rPh>
    <rPh sb="3" eb="4">
      <t>ココロ</t>
    </rPh>
    <rPh sb="4" eb="5">
      <t>ハ</t>
    </rPh>
    <phoneticPr fontId="1"/>
  </si>
  <si>
    <t>河出　菜欧美</t>
    <rPh sb="0" eb="2">
      <t>カワデ</t>
    </rPh>
    <rPh sb="3" eb="4">
      <t>ナ</t>
    </rPh>
    <rPh sb="4" eb="5">
      <t>オウ</t>
    </rPh>
    <rPh sb="5" eb="6">
      <t>ビ</t>
    </rPh>
    <phoneticPr fontId="1"/>
  </si>
  <si>
    <t>田中　玲衣</t>
    <rPh sb="0" eb="2">
      <t>タナカ</t>
    </rPh>
    <rPh sb="3" eb="4">
      <t>レイ</t>
    </rPh>
    <rPh sb="4" eb="5">
      <t>イ</t>
    </rPh>
    <phoneticPr fontId="1"/>
  </si>
  <si>
    <t>杉山　碧依</t>
    <rPh sb="0" eb="2">
      <t>スギヤマ</t>
    </rPh>
    <rPh sb="3" eb="4">
      <t>アオ</t>
    </rPh>
    <rPh sb="4" eb="5">
      <t>イ</t>
    </rPh>
    <phoneticPr fontId="1"/>
  </si>
  <si>
    <t>杉下　百花</t>
    <rPh sb="0" eb="2">
      <t>スギシタ</t>
    </rPh>
    <rPh sb="3" eb="4">
      <t>ヒャク</t>
    </rPh>
    <rPh sb="4" eb="5">
      <t>ハナ</t>
    </rPh>
    <phoneticPr fontId="1"/>
  </si>
  <si>
    <t>木田　裕乃</t>
    <rPh sb="0" eb="2">
      <t>キダ</t>
    </rPh>
    <rPh sb="3" eb="5">
      <t>ヒロノ</t>
    </rPh>
    <phoneticPr fontId="1"/>
  </si>
  <si>
    <t>梶川　結妃</t>
    <rPh sb="0" eb="2">
      <t>カジカワ</t>
    </rPh>
    <rPh sb="3" eb="4">
      <t>ユイ</t>
    </rPh>
    <rPh sb="4" eb="5">
      <t>ヒ</t>
    </rPh>
    <phoneticPr fontId="1"/>
  </si>
  <si>
    <t>大野　愛季</t>
    <rPh sb="0" eb="2">
      <t>オオノ</t>
    </rPh>
    <rPh sb="3" eb="4">
      <t>アイ</t>
    </rPh>
    <rPh sb="4" eb="5">
      <t>キ</t>
    </rPh>
    <phoneticPr fontId="1"/>
  </si>
  <si>
    <t>丁左近　華奈</t>
    <rPh sb="0" eb="1">
      <t>チョウ</t>
    </rPh>
    <rPh sb="1" eb="3">
      <t>サコン</t>
    </rPh>
    <rPh sb="4" eb="6">
      <t>カナ</t>
    </rPh>
    <phoneticPr fontId="1"/>
  </si>
  <si>
    <t>德田　恭実</t>
    <rPh sb="0" eb="2">
      <t>トクダ</t>
    </rPh>
    <rPh sb="3" eb="4">
      <t>ヤスシ</t>
    </rPh>
    <rPh sb="4" eb="5">
      <t>ミ</t>
    </rPh>
    <phoneticPr fontId="1"/>
  </si>
  <si>
    <t>蓑島　康太</t>
    <rPh sb="0" eb="2">
      <t>ミノシマ</t>
    </rPh>
    <rPh sb="3" eb="5">
      <t>コウタ</t>
    </rPh>
    <phoneticPr fontId="1"/>
  </si>
  <si>
    <t>済美</t>
    <rPh sb="0" eb="2">
      <t>セイビ</t>
    </rPh>
    <phoneticPr fontId="1"/>
  </si>
  <si>
    <t>柚木　紹</t>
    <rPh sb="0" eb="2">
      <t>ユズキ</t>
    </rPh>
    <rPh sb="3" eb="4">
      <t>ショウ</t>
    </rPh>
    <phoneticPr fontId="1"/>
  </si>
  <si>
    <t>角　　律希</t>
  </si>
  <si>
    <t>山田　千結</t>
  </si>
  <si>
    <t>小川　桜空</t>
  </si>
  <si>
    <t>伊藤　碧音　</t>
  </si>
  <si>
    <t>大垣日大</t>
    <phoneticPr fontId="1"/>
  </si>
  <si>
    <t>田上　力一</t>
  </si>
  <si>
    <t>加納　陸翔</t>
  </si>
  <si>
    <t>関　　希</t>
  </si>
  <si>
    <t>藤江　香澄</t>
  </si>
  <si>
    <t>佐竹　結衣</t>
  </si>
  <si>
    <t>東出　妃奈子　</t>
  </si>
  <si>
    <t>大垣日大B</t>
    <phoneticPr fontId="1"/>
  </si>
  <si>
    <t>細井　晴海</t>
    <rPh sb="0" eb="2">
      <t>ホソイ</t>
    </rPh>
    <rPh sb="3" eb="5">
      <t>ハルミ</t>
    </rPh>
    <phoneticPr fontId="1"/>
  </si>
  <si>
    <t>中２</t>
    <rPh sb="0" eb="1">
      <t>ナカ</t>
    </rPh>
    <phoneticPr fontId="1"/>
  </si>
  <si>
    <t>鶯谷中</t>
    <rPh sb="0" eb="2">
      <t>ウグイスダニ</t>
    </rPh>
    <rPh sb="2" eb="3">
      <t>チュウ</t>
    </rPh>
    <phoneticPr fontId="1"/>
  </si>
  <si>
    <t>宇佐美　慶</t>
    <rPh sb="0" eb="3">
      <t>ウサミ</t>
    </rPh>
    <rPh sb="4" eb="5">
      <t>ケイ</t>
    </rPh>
    <phoneticPr fontId="1"/>
  </si>
  <si>
    <t>曽我　健人</t>
    <rPh sb="0" eb="2">
      <t>ソガ</t>
    </rPh>
    <rPh sb="3" eb="4">
      <t>ケン</t>
    </rPh>
    <rPh sb="4" eb="5">
      <t>ヒト</t>
    </rPh>
    <phoneticPr fontId="1"/>
  </si>
  <si>
    <t>狩野　佑斗</t>
    <rPh sb="0" eb="2">
      <t>カノ</t>
    </rPh>
    <rPh sb="3" eb="4">
      <t>ユウ</t>
    </rPh>
    <rPh sb="4" eb="5">
      <t>ト</t>
    </rPh>
    <phoneticPr fontId="1"/>
  </si>
  <si>
    <t>小倉　虎太郎</t>
    <rPh sb="0" eb="2">
      <t>オグラ</t>
    </rPh>
    <rPh sb="3" eb="6">
      <t>コタロウ</t>
    </rPh>
    <phoneticPr fontId="1"/>
  </si>
  <si>
    <t>a</t>
    <phoneticPr fontId="1"/>
  </si>
  <si>
    <t>b</t>
    <phoneticPr fontId="1"/>
  </si>
  <si>
    <t>c</t>
    <phoneticPr fontId="1"/>
  </si>
  <si>
    <t>c　BP</t>
    <phoneticPr fontId="1"/>
  </si>
  <si>
    <t>4-3</t>
    <phoneticPr fontId="1"/>
  </si>
  <si>
    <t>5-2</t>
    <phoneticPr fontId="1"/>
  </si>
  <si>
    <t>5-3</t>
    <phoneticPr fontId="1"/>
  </si>
  <si>
    <t>1-6</t>
    <phoneticPr fontId="1"/>
  </si>
  <si>
    <t>1-9</t>
    <phoneticPr fontId="1"/>
  </si>
  <si>
    <t>2-6</t>
    <phoneticPr fontId="1"/>
  </si>
  <si>
    <t>2-8</t>
    <phoneticPr fontId="1"/>
  </si>
  <si>
    <t>2-9</t>
    <phoneticPr fontId="1"/>
  </si>
  <si>
    <t>3-6</t>
    <phoneticPr fontId="1"/>
  </si>
  <si>
    <t>3-7</t>
    <phoneticPr fontId="1"/>
  </si>
  <si>
    <t>4-6</t>
    <phoneticPr fontId="1"/>
  </si>
  <si>
    <t>4-7</t>
    <phoneticPr fontId="1"/>
  </si>
  <si>
    <t>4-8</t>
    <phoneticPr fontId="1"/>
  </si>
  <si>
    <t>c　左</t>
    <rPh sb="2" eb="3">
      <t>ヒダリ</t>
    </rPh>
    <phoneticPr fontId="1"/>
  </si>
  <si>
    <t>井口　蒼太</t>
  </si>
  <si>
    <t>春日井　月暉</t>
  </si>
  <si>
    <t>岩本　武士</t>
  </si>
  <si>
    <t>平田　リュウ</t>
  </si>
  <si>
    <t>福田　隆人</t>
  </si>
  <si>
    <t>宇佐美　慶</t>
  </si>
  <si>
    <t>田邉　陸玖</t>
  </si>
  <si>
    <t>玉木　心晴</t>
  </si>
  <si>
    <t>永澤　京誠</t>
  </si>
  <si>
    <t>森嶋　礼真</t>
  </si>
  <si>
    <t>加藤　凜</t>
  </si>
  <si>
    <t>小竹　莞太郎</t>
  </si>
  <si>
    <t>日比野　優真</t>
  </si>
  <si>
    <t>澤村　実槻</t>
  </si>
  <si>
    <t>曽我　健人</t>
  </si>
  <si>
    <t>宮﨑　波</t>
  </si>
  <si>
    <t>杉山　碧依</t>
  </si>
  <si>
    <t>押田　雪那</t>
  </si>
  <si>
    <t>松丸　葵</t>
  </si>
  <si>
    <t>丁左近　華奈</t>
  </si>
  <si>
    <t>木田　裕乃</t>
  </si>
  <si>
    <t>後藤　小日芽</t>
  </si>
  <si>
    <t>安藤　凛</t>
  </si>
  <si>
    <t>杉下　百花</t>
  </si>
  <si>
    <t>梶川　結妃</t>
  </si>
  <si>
    <t>田中　玲衣</t>
  </si>
  <si>
    <t>澤田　茉利</t>
  </si>
  <si>
    <t>河出　菜欧美</t>
  </si>
  <si>
    <t>吉田　実咲希</t>
  </si>
  <si>
    <t>大野　愛季</t>
  </si>
  <si>
    <t>辻　照永</t>
    <phoneticPr fontId="1"/>
  </si>
  <si>
    <t>田邉　陸玖</t>
    <phoneticPr fontId="1"/>
  </si>
  <si>
    <t>蓑島　康太</t>
  </si>
  <si>
    <t>棚橋　隼</t>
  </si>
  <si>
    <t>清原　隼</t>
  </si>
  <si>
    <t>小森　翔太</t>
  </si>
  <si>
    <t>山梨　功晴</t>
  </si>
  <si>
    <t>狩野　佑斗</t>
  </si>
  <si>
    <t>德田　恭実</t>
  </si>
  <si>
    <t>小倉　虎太郎</t>
  </si>
  <si>
    <t>西村　翔真</t>
  </si>
  <si>
    <t>山田　流空</t>
  </si>
  <si>
    <t>東　莉杏</t>
  </si>
  <si>
    <t>加藤　葵</t>
  </si>
  <si>
    <t>柚木　紹</t>
  </si>
  <si>
    <t>古田聖莉奈</t>
  </si>
  <si>
    <t>藤井　音緒</t>
  </si>
  <si>
    <t>郡上北</t>
    <rPh sb="0" eb="3">
      <t>グジョウキタ</t>
    </rPh>
    <phoneticPr fontId="1"/>
  </si>
  <si>
    <t>県総体ライフル射撃競技総合成績</t>
    <rPh sb="0" eb="1">
      <t>ケン</t>
    </rPh>
    <rPh sb="1" eb="3">
      <t>ソウタイ</t>
    </rPh>
    <rPh sb="7" eb="9">
      <t>シャゲキ</t>
    </rPh>
    <rPh sb="9" eb="11">
      <t>キョウギ</t>
    </rPh>
    <rPh sb="11" eb="13">
      <t>ソウゴウ</t>
    </rPh>
    <rPh sb="13" eb="15">
      <t>セイセキ</t>
    </rPh>
    <phoneticPr fontId="1"/>
  </si>
  <si>
    <t>学校対抗</t>
    <rPh sb="0" eb="2">
      <t>ガッコウ</t>
    </rPh>
    <rPh sb="2" eb="4">
      <t>タイコウ</t>
    </rPh>
    <phoneticPr fontId="1"/>
  </si>
  <si>
    <t>AR得点</t>
    <rPh sb="2" eb="4">
      <t>トクテン</t>
    </rPh>
    <phoneticPr fontId="1"/>
  </si>
  <si>
    <t>AP得点</t>
    <rPh sb="2" eb="4">
      <t>トクテン</t>
    </rPh>
    <phoneticPr fontId="1"/>
  </si>
  <si>
    <t>BR得点</t>
    <rPh sb="2" eb="4">
      <t>トクテン</t>
    </rPh>
    <phoneticPr fontId="1"/>
  </si>
  <si>
    <t>BP得点</t>
    <rPh sb="2" eb="4">
      <t>トクテン</t>
    </rPh>
    <phoneticPr fontId="1"/>
  </si>
  <si>
    <t>計</t>
    <rPh sb="0" eb="1">
      <t>ケイ</t>
    </rPh>
    <phoneticPr fontId="1"/>
  </si>
  <si>
    <t>関有知</t>
    <rPh sb="0" eb="3">
      <t>セキウチ</t>
    </rPh>
    <phoneticPr fontId="1"/>
  </si>
  <si>
    <t>郡上北</t>
    <rPh sb="0" eb="2">
      <t>グジョウ</t>
    </rPh>
    <rPh sb="2" eb="3">
      <t>キタ</t>
    </rPh>
    <phoneticPr fontId="1"/>
  </si>
  <si>
    <t>大垣日大</t>
    <rPh sb="0" eb="2">
      <t>オオガキ</t>
    </rPh>
    <rPh sb="2" eb="4">
      <t>ニチダイ</t>
    </rPh>
    <phoneticPr fontId="1"/>
  </si>
  <si>
    <t>関有知</t>
    <rPh sb="0" eb="1">
      <t>セキ</t>
    </rPh>
    <rPh sb="1" eb="2">
      <t>ア</t>
    </rPh>
    <rPh sb="2" eb="3">
      <t>シ</t>
    </rPh>
    <phoneticPr fontId="1"/>
  </si>
  <si>
    <t>済美</t>
    <rPh sb="0" eb="1">
      <t>ス</t>
    </rPh>
    <rPh sb="1" eb="2">
      <t>ウツク</t>
    </rPh>
    <phoneticPr fontId="1"/>
  </si>
  <si>
    <t>　</t>
    <phoneticPr fontId="1"/>
  </si>
  <si>
    <t>上野茂男</t>
  </si>
  <si>
    <t>西川祐</t>
    <rPh sb="0" eb="2">
      <t>ニシカワ</t>
    </rPh>
    <phoneticPr fontId="2"/>
  </si>
  <si>
    <t>竹地友南</t>
    <rPh sb="0" eb="2">
      <t>タケチ</t>
    </rPh>
    <rPh sb="2" eb="3">
      <t>トモ</t>
    </rPh>
    <rPh sb="3" eb="4">
      <t>ミナミ</t>
    </rPh>
    <phoneticPr fontId="2"/>
  </si>
  <si>
    <t>太田宗吉</t>
  </si>
  <si>
    <t>神鳥　哲</t>
  </si>
  <si>
    <t>(MW)</t>
    <phoneticPr fontId="1"/>
  </si>
  <si>
    <t>(M)</t>
    <phoneticPr fontId="1"/>
  </si>
  <si>
    <t>（W）</t>
    <phoneticPr fontId="1"/>
  </si>
  <si>
    <t>※片づけ</t>
    <phoneticPr fontId="1"/>
  </si>
  <si>
    <t>DNS</t>
    <phoneticPr fontId="1"/>
  </si>
  <si>
    <t>X</t>
  </si>
  <si>
    <t>※各種目個人戦において、1位3点、2位2点、3位1点　とした</t>
    <rPh sb="1" eb="4">
      <t>カクシュモク</t>
    </rPh>
    <rPh sb="4" eb="7">
      <t>コジンセン</t>
    </rPh>
    <rPh sb="13" eb="14">
      <t>イ</t>
    </rPh>
    <rPh sb="15" eb="16">
      <t>テン</t>
    </rPh>
    <rPh sb="18" eb="19">
      <t>イ</t>
    </rPh>
    <rPh sb="20" eb="21">
      <t>テン</t>
    </rPh>
    <rPh sb="23" eb="24">
      <t>イ</t>
    </rPh>
    <rPh sb="25" eb="26">
      <t>テン</t>
    </rPh>
    <phoneticPr fontId="1"/>
  </si>
  <si>
    <t>DNS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</si>
</sst>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0.0_ "/>
    <numFmt numFmtId="177" formatCode="0_ "/>
    <numFmt numFmtId="178" formatCode="0.00_);[Red]\(0.00\)"/>
    <numFmt numFmtId="179" formatCode="0.0_);[Red]\(0.0\)"/>
    <numFmt numFmtId="180" formatCode="0_);[Red]\(0\)"/>
    <numFmt numFmtId="181" formatCode="\(aaa\)"/>
    <numFmt numFmtId="182" formatCode="0.0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22"/>
      <name val="メイリオ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indexed="44"/>
      <name val="メイリオ"/>
      <family val="3"/>
      <charset val="128"/>
    </font>
    <font>
      <sz val="22"/>
      <name val="ＭＳ Ｐゴシック"/>
      <family val="3"/>
      <charset val="128"/>
      <scheme val="major"/>
    </font>
    <font>
      <b/>
      <sz val="10"/>
      <name val="メイリオ"/>
      <family val="3"/>
      <charset val="128"/>
    </font>
    <font>
      <sz val="20"/>
      <name val="メイリオ"/>
      <family val="3"/>
      <charset val="128"/>
    </font>
    <font>
      <sz val="8"/>
      <name val="メイリオ"/>
      <family val="3"/>
      <charset val="128"/>
    </font>
    <font>
      <sz val="6"/>
      <name val="メイリオ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79" fontId="7" fillId="0" borderId="34" xfId="0" applyNumberFormat="1" applyFont="1" applyBorder="1" applyAlignment="1">
      <alignment horizontal="center" vertical="center"/>
    </xf>
    <xf numFmtId="179" fontId="7" fillId="0" borderId="9" xfId="0" applyNumberFormat="1" applyFont="1" applyBorder="1" applyAlignment="1">
      <alignment horizontal="center" vertical="center"/>
    </xf>
    <xf numFmtId="179" fontId="7" fillId="0" borderId="35" xfId="0" applyNumberFormat="1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179" fontId="2" fillId="0" borderId="36" xfId="0" applyNumberFormat="1" applyFont="1" applyBorder="1" applyAlignment="1">
      <alignment horizontal="center" vertical="center"/>
    </xf>
    <xf numFmtId="179" fontId="2" fillId="0" borderId="37" xfId="0" applyNumberFormat="1" applyFont="1" applyBorder="1" applyAlignment="1">
      <alignment horizontal="center" vertical="center"/>
    </xf>
    <xf numFmtId="179" fontId="2" fillId="0" borderId="38" xfId="0" applyNumberFormat="1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179" fontId="2" fillId="0" borderId="39" xfId="0" applyNumberFormat="1" applyFont="1" applyBorder="1" applyAlignment="1">
      <alignment horizontal="center" vertical="center"/>
    </xf>
    <xf numFmtId="179" fontId="2" fillId="0" borderId="40" xfId="0" applyNumberFormat="1" applyFont="1" applyBorder="1" applyAlignment="1">
      <alignment horizontal="center" vertical="center"/>
    </xf>
    <xf numFmtId="179" fontId="2" fillId="0" borderId="41" xfId="0" applyNumberFormat="1" applyFont="1" applyBorder="1" applyAlignment="1">
      <alignment horizontal="center" vertical="center"/>
    </xf>
    <xf numFmtId="179" fontId="2" fillId="0" borderId="42" xfId="0" applyNumberFormat="1" applyFont="1" applyBorder="1" applyAlignment="1">
      <alignment horizontal="center" vertical="center"/>
    </xf>
    <xf numFmtId="179" fontId="2" fillId="0" borderId="43" xfId="0" applyNumberFormat="1" applyFont="1" applyBorder="1" applyAlignment="1">
      <alignment horizontal="center" vertical="center"/>
    </xf>
    <xf numFmtId="179" fontId="2" fillId="0" borderId="44" xfId="0" applyNumberFormat="1" applyFont="1" applyBorder="1" applyAlignment="1">
      <alignment horizontal="center" vertical="center"/>
    </xf>
    <xf numFmtId="179" fontId="2" fillId="0" borderId="45" xfId="0" applyNumberFormat="1" applyFont="1" applyBorder="1" applyAlignment="1">
      <alignment horizontal="center" vertical="center"/>
    </xf>
    <xf numFmtId="179" fontId="2" fillId="0" borderId="46" xfId="0" applyNumberFormat="1" applyFont="1" applyBorder="1" applyAlignment="1">
      <alignment horizontal="center" vertical="center"/>
    </xf>
    <xf numFmtId="179" fontId="2" fillId="0" borderId="19" xfId="0" applyNumberFormat="1" applyFont="1" applyBorder="1" applyAlignment="1" applyProtection="1">
      <alignment horizontal="center" vertical="center"/>
      <protection locked="0"/>
    </xf>
    <xf numFmtId="179" fontId="2" fillId="0" borderId="19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9" fillId="0" borderId="61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56" fontId="10" fillId="0" borderId="0" xfId="0" applyNumberFormat="1" applyFont="1">
      <alignment vertical="center"/>
    </xf>
    <xf numFmtId="181" fontId="10" fillId="0" borderId="0" xfId="0" applyNumberFormat="1" applyFont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179" fontId="12" fillId="0" borderId="0" xfId="0" applyNumberFormat="1" applyFont="1" applyAlignment="1">
      <alignment horizontal="center" vertical="center" shrinkToFit="1"/>
    </xf>
    <xf numFmtId="179" fontId="11" fillId="0" borderId="0" xfId="0" applyNumberFormat="1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179" fontId="10" fillId="0" borderId="0" xfId="0" applyNumberFormat="1" applyFont="1">
      <alignment vertical="center"/>
    </xf>
    <xf numFmtId="179" fontId="11" fillId="0" borderId="0" xfId="0" applyNumberFormat="1" applyFont="1">
      <alignment vertical="center"/>
    </xf>
    <xf numFmtId="177" fontId="12" fillId="0" borderId="0" xfId="0" applyNumberFormat="1" applyFont="1" applyAlignment="1">
      <alignment horizontal="center" vertical="center" shrinkToFit="1"/>
    </xf>
    <xf numFmtId="0" fontId="11" fillId="0" borderId="56" xfId="0" applyFont="1" applyBorder="1" applyAlignment="1">
      <alignment horizontal="center" vertical="center"/>
    </xf>
    <xf numFmtId="179" fontId="9" fillId="0" borderId="0" xfId="0" applyNumberFormat="1" applyFont="1">
      <alignment vertical="center"/>
    </xf>
    <xf numFmtId="180" fontId="11" fillId="0" borderId="0" xfId="0" applyNumberFormat="1" applyFont="1">
      <alignment vertical="center"/>
    </xf>
    <xf numFmtId="179" fontId="11" fillId="0" borderId="56" xfId="0" applyNumberFormat="1" applyFont="1" applyBorder="1" applyAlignment="1">
      <alignment horizontal="center" vertical="center"/>
    </xf>
    <xf numFmtId="179" fontId="11" fillId="0" borderId="6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 shrinkToFit="1"/>
    </xf>
    <xf numFmtId="180" fontId="9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56" fontId="9" fillId="0" borderId="0" xfId="0" applyNumberFormat="1" applyFont="1">
      <alignment vertical="center"/>
    </xf>
    <xf numFmtId="181" fontId="9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49" fontId="9" fillId="0" borderId="64" xfId="0" applyNumberFormat="1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5" fillId="0" borderId="19" xfId="0" applyFont="1" applyBorder="1" applyAlignment="1">
      <alignment horizontal="distributed" vertical="center"/>
    </xf>
    <xf numFmtId="0" fontId="9" fillId="0" borderId="61" xfId="0" applyFont="1" applyBorder="1" applyAlignment="1">
      <alignment horizontal="center" vertical="center"/>
    </xf>
    <xf numFmtId="0" fontId="9" fillId="0" borderId="24" xfId="0" applyFont="1" applyBorder="1" applyAlignment="1">
      <alignment horizontal="distributed" vertical="center"/>
    </xf>
    <xf numFmtId="49" fontId="9" fillId="0" borderId="0" xfId="0" applyNumberFormat="1" applyFont="1">
      <alignment vertical="center"/>
    </xf>
    <xf numFmtId="0" fontId="9" fillId="0" borderId="58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19" xfId="0" applyFont="1" applyBorder="1" applyAlignment="1">
      <alignment horizontal="distributed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20" fontId="9" fillId="0" borderId="0" xfId="0" quotePrefix="1" applyNumberFormat="1" applyFont="1" applyAlignment="1">
      <alignment horizontal="left" vertical="center"/>
    </xf>
    <xf numFmtId="49" fontId="9" fillId="0" borderId="32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43" xfId="0" applyNumberFormat="1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56" fontId="9" fillId="0" borderId="0" xfId="0" applyNumberFormat="1" applyFont="1" applyAlignment="1">
      <alignment horizontal="right" vertical="center"/>
    </xf>
    <xf numFmtId="0" fontId="9" fillId="0" borderId="82" xfId="0" applyFont="1" applyBorder="1" applyAlignment="1">
      <alignment horizontal="distributed" vertical="center"/>
    </xf>
    <xf numFmtId="0" fontId="9" fillId="0" borderId="48" xfId="0" applyFont="1" applyBorder="1">
      <alignment vertical="center"/>
    </xf>
    <xf numFmtId="0" fontId="15" fillId="0" borderId="4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49" xfId="0" applyFont="1" applyBorder="1">
      <alignment vertical="center"/>
    </xf>
    <xf numFmtId="0" fontId="9" fillId="0" borderId="87" xfId="0" applyFont="1" applyBorder="1">
      <alignment vertical="center"/>
    </xf>
    <xf numFmtId="0" fontId="9" fillId="0" borderId="4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61" xfId="0" applyFont="1" applyBorder="1" applyAlignment="1">
      <alignment horizontal="distributed" vertical="center"/>
    </xf>
    <xf numFmtId="0" fontId="9" fillId="0" borderId="85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47" xfId="0" applyFont="1" applyBorder="1">
      <alignment vertical="center"/>
    </xf>
    <xf numFmtId="0" fontId="10" fillId="0" borderId="48" xfId="0" applyFont="1" applyBorder="1">
      <alignment vertical="center"/>
    </xf>
    <xf numFmtId="0" fontId="10" fillId="0" borderId="48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0" xfId="0" applyFont="1" applyBorder="1">
      <alignment vertical="center"/>
    </xf>
    <xf numFmtId="0" fontId="10" fillId="0" borderId="58" xfId="0" applyFont="1" applyBorder="1" applyAlignment="1">
      <alignment horizontal="center" vertical="center"/>
    </xf>
    <xf numFmtId="0" fontId="10" fillId="0" borderId="54" xfId="0" applyFont="1" applyBorder="1">
      <alignment vertical="center"/>
    </xf>
    <xf numFmtId="0" fontId="10" fillId="0" borderId="56" xfId="0" applyFont="1" applyBorder="1">
      <alignment vertical="center"/>
    </xf>
    <xf numFmtId="0" fontId="10" fillId="0" borderId="0" xfId="0" applyFont="1" applyAlignment="1">
      <alignment vertical="center" justifyLastLine="1"/>
    </xf>
    <xf numFmtId="0" fontId="10" fillId="0" borderId="0" xfId="0" applyFont="1" applyAlignment="1">
      <alignment horizontal="left" vertical="center"/>
    </xf>
    <xf numFmtId="0" fontId="10" fillId="0" borderId="6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50" xfId="0" applyFont="1" applyBorder="1" applyAlignment="1">
      <alignment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10" fillId="0" borderId="54" xfId="0" applyFont="1" applyBorder="1" applyAlignment="1">
      <alignment vertical="center" shrinkToFit="1"/>
    </xf>
    <xf numFmtId="0" fontId="10" fillId="0" borderId="56" xfId="0" applyFont="1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/>
    </xf>
    <xf numFmtId="179" fontId="11" fillId="0" borderId="55" xfId="0" applyNumberFormat="1" applyFont="1" applyBorder="1" applyAlignment="1">
      <alignment horizontal="distributed" vertical="center"/>
    </xf>
    <xf numFmtId="179" fontId="11" fillId="0" borderId="49" xfId="0" applyNumberFormat="1" applyFont="1" applyBorder="1" applyAlignment="1">
      <alignment horizontal="distributed" vertical="center"/>
    </xf>
    <xf numFmtId="0" fontId="11" fillId="0" borderId="75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5" fillId="0" borderId="37" xfId="0" applyFont="1" applyBorder="1" applyAlignment="1">
      <alignment horizontal="distributed" vertical="center"/>
    </xf>
    <xf numFmtId="0" fontId="9" fillId="2" borderId="19" xfId="0" applyFont="1" applyFill="1" applyBorder="1" applyAlignment="1">
      <alignment horizontal="distributed" vertical="center"/>
    </xf>
    <xf numFmtId="0" fontId="9" fillId="0" borderId="38" xfId="0" applyFont="1" applyBorder="1" applyAlignment="1">
      <alignment horizontal="center" vertical="center"/>
    </xf>
    <xf numFmtId="0" fontId="9" fillId="0" borderId="28" xfId="0" applyFont="1" applyBorder="1">
      <alignment vertical="center"/>
    </xf>
    <xf numFmtId="0" fontId="9" fillId="0" borderId="31" xfId="0" applyFont="1" applyBorder="1">
      <alignment vertical="center"/>
    </xf>
    <xf numFmtId="0" fontId="15" fillId="0" borderId="24" xfId="0" applyFont="1" applyBorder="1" applyAlignment="1">
      <alignment horizontal="distributed" vertical="center"/>
    </xf>
    <xf numFmtId="0" fontId="9" fillId="0" borderId="31" xfId="0" applyFont="1" applyBorder="1" applyAlignment="1">
      <alignment horizontal="center" vertical="center"/>
    </xf>
    <xf numFmtId="0" fontId="15" fillId="0" borderId="53" xfId="0" applyFont="1" applyBorder="1" applyAlignment="1">
      <alignment horizontal="distributed" vertical="center"/>
    </xf>
    <xf numFmtId="49" fontId="15" fillId="0" borderId="63" xfId="0" applyNumberFormat="1" applyFont="1" applyBorder="1" applyAlignment="1">
      <alignment horizontal="center" vertical="center"/>
    </xf>
    <xf numFmtId="179" fontId="11" fillId="0" borderId="75" xfId="0" applyNumberFormat="1" applyFont="1" applyBorder="1" applyAlignment="1">
      <alignment horizontal="center" vertical="center"/>
    </xf>
    <xf numFmtId="179" fontId="11" fillId="0" borderId="44" xfId="0" applyNumberFormat="1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51" xfId="0" applyFont="1" applyBorder="1" applyAlignment="1">
      <alignment horizontal="distributed" vertical="center"/>
    </xf>
    <xf numFmtId="56" fontId="10" fillId="0" borderId="0" xfId="0" applyNumberFormat="1" applyFont="1" applyAlignment="1">
      <alignment horizontal="center" vertical="center"/>
    </xf>
    <xf numFmtId="0" fontId="9" fillId="0" borderId="38" xfId="0" applyFont="1" applyBorder="1" applyAlignment="1">
      <alignment horizontal="distributed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48" xfId="0" applyFont="1" applyBorder="1" applyAlignment="1" applyProtection="1">
      <alignment horizontal="center" vertical="center"/>
      <protection locked="0"/>
    </xf>
    <xf numFmtId="182" fontId="9" fillId="0" borderId="63" xfId="0" applyNumberFormat="1" applyFont="1" applyBorder="1" applyAlignment="1">
      <alignment horizontal="center" vertical="center"/>
    </xf>
    <xf numFmtId="182" fontId="9" fillId="0" borderId="19" xfId="0" applyNumberFormat="1" applyFont="1" applyBorder="1" applyAlignment="1">
      <alignment horizontal="center" vertical="center"/>
    </xf>
    <xf numFmtId="182" fontId="9" fillId="0" borderId="51" xfId="0" applyNumberFormat="1" applyFont="1" applyBorder="1" applyAlignment="1">
      <alignment horizontal="center" vertical="center"/>
    </xf>
    <xf numFmtId="182" fontId="15" fillId="0" borderId="19" xfId="0" applyNumberFormat="1" applyFont="1" applyBorder="1" applyAlignment="1">
      <alignment horizontal="center" vertical="center"/>
    </xf>
    <xf numFmtId="177" fontId="9" fillId="0" borderId="57" xfId="0" applyNumberFormat="1" applyFont="1" applyBorder="1" applyAlignment="1">
      <alignment horizontal="center" vertical="center"/>
    </xf>
    <xf numFmtId="177" fontId="9" fillId="0" borderId="14" xfId="0" applyNumberFormat="1" applyFont="1" applyBorder="1" applyAlignment="1">
      <alignment horizontal="center" vertical="center"/>
    </xf>
    <xf numFmtId="177" fontId="9" fillId="0" borderId="15" xfId="0" applyNumberFormat="1" applyFont="1" applyBorder="1" applyAlignment="1">
      <alignment horizontal="center" vertical="center"/>
    </xf>
    <xf numFmtId="177" fontId="9" fillId="0" borderId="18" xfId="0" applyNumberFormat="1" applyFont="1" applyBorder="1" applyAlignment="1">
      <alignment horizontal="center" vertical="center"/>
    </xf>
    <xf numFmtId="177" fontId="9" fillId="0" borderId="63" xfId="0" applyNumberFormat="1" applyFont="1" applyBorder="1" applyAlignment="1">
      <alignment horizontal="center" vertical="center"/>
    </xf>
    <xf numFmtId="177" fontId="9" fillId="0" borderId="19" xfId="0" applyNumberFormat="1" applyFont="1" applyBorder="1" applyAlignment="1">
      <alignment horizontal="center" vertical="center"/>
    </xf>
    <xf numFmtId="177" fontId="9" fillId="0" borderId="51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82" xfId="0" applyFont="1" applyBorder="1" applyAlignment="1">
      <alignment horizontal="distributed" vertical="center" wrapText="1"/>
    </xf>
    <xf numFmtId="0" fontId="9" fillId="0" borderId="85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179" fontId="9" fillId="0" borderId="48" xfId="0" applyNumberFormat="1" applyFont="1" applyBorder="1" applyAlignment="1">
      <alignment horizontal="center" vertical="center"/>
    </xf>
    <xf numFmtId="0" fontId="9" fillId="0" borderId="25" xfId="0" applyFont="1" applyBorder="1">
      <alignment vertical="center"/>
    </xf>
    <xf numFmtId="49" fontId="9" fillId="0" borderId="58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56" fontId="9" fillId="0" borderId="0" xfId="0" applyNumberFormat="1" applyFont="1" applyAlignment="1">
      <alignment horizontal="left" vertical="center"/>
    </xf>
    <xf numFmtId="0" fontId="9" fillId="0" borderId="82" xfId="0" applyFont="1" applyBorder="1">
      <alignment vertical="center"/>
    </xf>
    <xf numFmtId="182" fontId="9" fillId="0" borderId="0" xfId="0" applyNumberFormat="1" applyFont="1" applyAlignment="1" applyProtection="1">
      <alignment horizontal="distributed" vertical="center"/>
      <protection locked="0"/>
    </xf>
    <xf numFmtId="0" fontId="9" fillId="0" borderId="0" xfId="0" applyFont="1" applyAlignment="1" applyProtection="1">
      <alignment horizontal="distributed" vertical="center"/>
      <protection locked="0"/>
    </xf>
    <xf numFmtId="0" fontId="9" fillId="0" borderId="0" xfId="0" applyFont="1" applyAlignment="1">
      <alignment horizontal="justify" vertical="center"/>
    </xf>
    <xf numFmtId="0" fontId="9" fillId="0" borderId="37" xfId="0" applyFont="1" applyBorder="1">
      <alignment vertical="center"/>
    </xf>
    <xf numFmtId="0" fontId="9" fillId="0" borderId="56" xfId="0" applyFont="1" applyBorder="1" applyAlignment="1" applyProtection="1">
      <alignment horizontal="center" vertical="center"/>
      <protection locked="0"/>
    </xf>
    <xf numFmtId="0" fontId="9" fillId="0" borderId="74" xfId="0" applyFont="1" applyBorder="1">
      <alignment vertical="center"/>
    </xf>
    <xf numFmtId="0" fontId="9" fillId="0" borderId="93" xfId="0" applyFont="1" applyBorder="1" applyAlignment="1">
      <alignment horizontal="center" vertical="center"/>
    </xf>
    <xf numFmtId="182" fontId="9" fillId="0" borderId="84" xfId="0" applyNumberFormat="1" applyFont="1" applyBorder="1" applyAlignment="1">
      <alignment horizontal="center" vertical="center"/>
    </xf>
    <xf numFmtId="180" fontId="9" fillId="0" borderId="20" xfId="0" applyNumberFormat="1" applyFont="1" applyBorder="1" applyAlignment="1">
      <alignment horizontal="center" vertical="center"/>
    </xf>
    <xf numFmtId="180" fontId="9" fillId="0" borderId="19" xfId="0" applyNumberFormat="1" applyFont="1" applyBorder="1" applyAlignment="1">
      <alignment horizontal="center" vertical="center"/>
    </xf>
    <xf numFmtId="20" fontId="14" fillId="0" borderId="0" xfId="0" applyNumberFormat="1" applyFont="1">
      <alignment vertical="center"/>
    </xf>
    <xf numFmtId="178" fontId="10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8" fontId="9" fillId="0" borderId="0" xfId="0" applyNumberFormat="1" applyFont="1">
      <alignment vertical="center"/>
    </xf>
    <xf numFmtId="180" fontId="9" fillId="0" borderId="0" xfId="0" applyNumberFormat="1" applyFont="1" applyAlignment="1">
      <alignment horizontal="center" vertical="center"/>
    </xf>
    <xf numFmtId="180" fontId="9" fillId="0" borderId="88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61" xfId="0" applyFont="1" applyBorder="1" applyAlignment="1">
      <alignment horizontal="distributed" vertical="center"/>
    </xf>
    <xf numFmtId="180" fontId="9" fillId="0" borderId="63" xfId="0" applyNumberFormat="1" applyFont="1" applyBorder="1" applyAlignment="1">
      <alignment horizontal="center" vertical="center"/>
    </xf>
    <xf numFmtId="180" fontId="9" fillId="0" borderId="21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82" xfId="0" applyFont="1" applyBorder="1" applyAlignment="1">
      <alignment horizontal="distributed" vertical="center"/>
    </xf>
    <xf numFmtId="180" fontId="9" fillId="0" borderId="60" xfId="0" applyNumberFormat="1" applyFont="1" applyBorder="1" applyAlignment="1">
      <alignment horizontal="center" vertical="center"/>
    </xf>
    <xf numFmtId="180" fontId="9" fillId="0" borderId="24" xfId="0" applyNumberFormat="1" applyFont="1" applyBorder="1" applyAlignment="1">
      <alignment horizontal="center" vertical="center"/>
    </xf>
    <xf numFmtId="0" fontId="9" fillId="0" borderId="73" xfId="0" applyFont="1" applyBorder="1">
      <alignment vertical="center"/>
    </xf>
    <xf numFmtId="49" fontId="9" fillId="0" borderId="86" xfId="0" applyNumberFormat="1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69" xfId="0" applyFont="1" applyBorder="1">
      <alignment vertical="center"/>
    </xf>
    <xf numFmtId="180" fontId="9" fillId="0" borderId="51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180" fontId="9" fillId="0" borderId="53" xfId="0" applyNumberFormat="1" applyFont="1" applyBorder="1" applyAlignment="1">
      <alignment horizontal="center" vertical="center"/>
    </xf>
    <xf numFmtId="180" fontId="9" fillId="0" borderId="22" xfId="0" applyNumberFormat="1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11" fillId="0" borderId="3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79" fontId="11" fillId="0" borderId="38" xfId="0" applyNumberFormat="1" applyFont="1" applyBorder="1" applyAlignment="1">
      <alignment horizontal="distributed" vertical="center"/>
    </xf>
    <xf numFmtId="0" fontId="9" fillId="0" borderId="24" xfId="0" applyFont="1" applyBorder="1">
      <alignment vertical="center"/>
    </xf>
    <xf numFmtId="0" fontId="11" fillId="0" borderId="94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9" xfId="0" applyFont="1" applyBorder="1">
      <alignment vertical="center"/>
    </xf>
    <xf numFmtId="0" fontId="11" fillId="0" borderId="37" xfId="0" applyFont="1" applyBorder="1" applyAlignment="1">
      <alignment horizontal="distributed" vertical="center"/>
    </xf>
    <xf numFmtId="179" fontId="9" fillId="0" borderId="16" xfId="0" applyNumberFormat="1" applyFont="1" applyBorder="1" applyAlignment="1">
      <alignment horizontal="center" vertical="center"/>
    </xf>
    <xf numFmtId="0" fontId="9" fillId="0" borderId="62" xfId="0" applyFont="1" applyBorder="1">
      <alignment vertical="center"/>
    </xf>
    <xf numFmtId="0" fontId="9" fillId="0" borderId="91" xfId="0" applyFont="1" applyBorder="1">
      <alignment vertical="center"/>
    </xf>
    <xf numFmtId="0" fontId="11" fillId="0" borderId="71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9" fillId="0" borderId="52" xfId="0" applyFont="1" applyBorder="1" applyAlignment="1">
      <alignment horizontal="distributed" vertical="center"/>
    </xf>
    <xf numFmtId="0" fontId="9" fillId="0" borderId="54" xfId="0" applyFont="1" applyBorder="1">
      <alignment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96" xfId="0" applyFont="1" applyBorder="1" applyAlignment="1">
      <alignment horizontal="center" vertical="center" shrinkToFit="1"/>
    </xf>
    <xf numFmtId="0" fontId="10" fillId="0" borderId="97" xfId="0" applyFont="1" applyBorder="1" applyAlignment="1">
      <alignment horizontal="center" vertical="center" shrinkToFit="1"/>
    </xf>
    <xf numFmtId="0" fontId="10" fillId="0" borderId="92" xfId="0" applyFont="1" applyBorder="1" applyAlignment="1">
      <alignment horizontal="center" vertical="center" shrinkToFit="1"/>
    </xf>
    <xf numFmtId="0" fontId="10" fillId="0" borderId="99" xfId="0" applyFont="1" applyBorder="1" applyAlignment="1">
      <alignment horizontal="center" vertical="center" shrinkToFit="1"/>
    </xf>
    <xf numFmtId="0" fontId="10" fillId="0" borderId="95" xfId="0" applyFont="1" applyBorder="1" applyAlignment="1">
      <alignment horizontal="center" vertical="center" shrinkToFit="1"/>
    </xf>
    <xf numFmtId="179" fontId="11" fillId="0" borderId="20" xfId="0" applyNumberFormat="1" applyFont="1" applyBorder="1" applyAlignment="1">
      <alignment horizontal="distributed" vertical="center"/>
    </xf>
    <xf numFmtId="0" fontId="9" fillId="0" borderId="44" xfId="0" applyFont="1" applyBorder="1">
      <alignment vertical="center"/>
    </xf>
    <xf numFmtId="0" fontId="9" fillId="0" borderId="26" xfId="0" applyFont="1" applyBorder="1">
      <alignment vertical="center"/>
    </xf>
    <xf numFmtId="0" fontId="11" fillId="0" borderId="47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179" fontId="11" fillId="0" borderId="31" xfId="0" applyNumberFormat="1" applyFont="1" applyBorder="1" applyAlignment="1">
      <alignment horizontal="distributed" vertical="center"/>
    </xf>
    <xf numFmtId="0" fontId="10" fillId="0" borderId="100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179" fontId="10" fillId="0" borderId="64" xfId="0" applyNumberFormat="1" applyFont="1" applyBorder="1" applyAlignment="1">
      <alignment horizontal="center" vertical="center" shrinkToFit="1"/>
    </xf>
    <xf numFmtId="49" fontId="15" fillId="0" borderId="30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distributed" vertical="center"/>
    </xf>
    <xf numFmtId="0" fontId="15" fillId="0" borderId="30" xfId="0" applyFont="1" applyBorder="1" applyAlignment="1">
      <alignment horizontal="distributed" vertical="center"/>
    </xf>
    <xf numFmtId="182" fontId="9" fillId="0" borderId="16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distributed" vertical="center"/>
    </xf>
    <xf numFmtId="179" fontId="11" fillId="0" borderId="37" xfId="0" applyNumberFormat="1" applyFont="1" applyBorder="1" applyAlignment="1">
      <alignment horizontal="center" vertical="center" shrinkToFit="1"/>
    </xf>
    <xf numFmtId="179" fontId="11" fillId="0" borderId="15" xfId="0" applyNumberFormat="1" applyFont="1" applyBorder="1" applyAlignment="1">
      <alignment horizontal="center" vertical="center" shrinkToFit="1"/>
    </xf>
    <xf numFmtId="179" fontId="11" fillId="0" borderId="28" xfId="0" applyNumberFormat="1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/>
    </xf>
    <xf numFmtId="179" fontId="11" fillId="0" borderId="21" xfId="0" applyNumberFormat="1" applyFont="1" applyBorder="1" applyAlignment="1">
      <alignment horizontal="center" vertical="center" shrinkToFit="1"/>
    </xf>
    <xf numFmtId="179" fontId="11" fillId="0" borderId="29" xfId="0" applyNumberFormat="1" applyFont="1" applyBorder="1" applyAlignment="1">
      <alignment horizontal="center" vertical="center" shrinkToFit="1"/>
    </xf>
    <xf numFmtId="0" fontId="11" fillId="0" borderId="88" xfId="0" applyFont="1" applyBorder="1" applyAlignment="1">
      <alignment horizontal="center" vertical="center"/>
    </xf>
    <xf numFmtId="0" fontId="11" fillId="0" borderId="57" xfId="0" applyFont="1" applyBorder="1" applyAlignment="1">
      <alignment horizontal="distributed" vertical="center"/>
    </xf>
    <xf numFmtId="179" fontId="11" fillId="0" borderId="19" xfId="0" applyNumberFormat="1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distributed" vertical="center"/>
    </xf>
    <xf numFmtId="179" fontId="11" fillId="0" borderId="14" xfId="0" applyNumberFormat="1" applyFont="1" applyBorder="1" applyAlignment="1">
      <alignment horizontal="center" vertical="center" shrinkToFit="1"/>
    </xf>
    <xf numFmtId="179" fontId="11" fillId="0" borderId="59" xfId="0" applyNumberFormat="1" applyFont="1" applyBorder="1" applyAlignment="1">
      <alignment horizontal="center" vertical="center" shrinkToFit="1"/>
    </xf>
    <xf numFmtId="179" fontId="11" fillId="0" borderId="30" xfId="0" applyNumberFormat="1" applyFont="1" applyBorder="1" applyAlignment="1">
      <alignment horizontal="center" vertical="center" shrinkToFit="1"/>
    </xf>
    <xf numFmtId="179" fontId="11" fillId="0" borderId="63" xfId="0" applyNumberFormat="1" applyFont="1" applyBorder="1" applyAlignment="1">
      <alignment horizontal="distributed" vertical="center"/>
    </xf>
    <xf numFmtId="179" fontId="11" fillId="0" borderId="19" xfId="0" applyNumberFormat="1" applyFont="1" applyBorder="1" applyAlignment="1">
      <alignment horizontal="distributed" vertical="center"/>
    </xf>
    <xf numFmtId="179" fontId="11" fillId="0" borderId="61" xfId="0" applyNumberFormat="1" applyFont="1" applyBorder="1" applyAlignment="1">
      <alignment horizontal="center" vertical="center" shrinkToFit="1"/>
    </xf>
    <xf numFmtId="179" fontId="11" fillId="0" borderId="87" xfId="0" applyNumberFormat="1" applyFont="1" applyBorder="1" applyAlignment="1">
      <alignment horizontal="distributed" vertical="center"/>
    </xf>
    <xf numFmtId="179" fontId="11" fillId="0" borderId="31" xfId="0" applyNumberFormat="1" applyFont="1" applyBorder="1" applyAlignment="1">
      <alignment horizontal="center" vertical="center" shrinkToFit="1"/>
    </xf>
    <xf numFmtId="0" fontId="11" fillId="0" borderId="28" xfId="0" applyFont="1" applyBorder="1">
      <alignment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>
      <alignment vertical="center"/>
    </xf>
    <xf numFmtId="0" fontId="11" fillId="0" borderId="30" xfId="0" applyFont="1" applyBorder="1" applyAlignment="1">
      <alignment horizontal="center" vertical="center"/>
    </xf>
    <xf numFmtId="179" fontId="11" fillId="0" borderId="12" xfId="0" applyNumberFormat="1" applyFont="1" applyBorder="1" applyAlignment="1">
      <alignment horizontal="distributed" vertical="center"/>
    </xf>
    <xf numFmtId="179" fontId="11" fillId="0" borderId="57" xfId="0" applyNumberFormat="1" applyFont="1" applyBorder="1" applyAlignment="1">
      <alignment horizontal="distributed" vertical="center"/>
    </xf>
    <xf numFmtId="180" fontId="11" fillId="0" borderId="14" xfId="0" applyNumberFormat="1" applyFont="1" applyBorder="1" applyAlignment="1">
      <alignment horizontal="center" vertical="center" shrinkToFit="1"/>
    </xf>
    <xf numFmtId="179" fontId="11" fillId="0" borderId="14" xfId="0" applyNumberFormat="1" applyFont="1" applyBorder="1" applyAlignment="1">
      <alignment horizontal="distributed" vertical="center"/>
    </xf>
    <xf numFmtId="179" fontId="11" fillId="0" borderId="62" xfId="0" applyNumberFormat="1" applyFont="1" applyBorder="1" applyAlignment="1">
      <alignment horizontal="distributed" vertical="center"/>
    </xf>
    <xf numFmtId="180" fontId="11" fillId="0" borderId="28" xfId="0" applyNumberFormat="1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>
      <alignment vertical="center"/>
    </xf>
    <xf numFmtId="179" fontId="11" fillId="0" borderId="17" xfId="0" applyNumberFormat="1" applyFont="1" applyBorder="1" applyAlignment="1">
      <alignment horizontal="distributed" vertical="center"/>
    </xf>
    <xf numFmtId="180" fontId="11" fillId="0" borderId="19" xfId="0" applyNumberFormat="1" applyFont="1" applyBorder="1" applyAlignment="1">
      <alignment horizontal="center" vertical="center" shrinkToFit="1"/>
    </xf>
    <xf numFmtId="179" fontId="11" fillId="0" borderId="39" xfId="0" applyNumberFormat="1" applyFont="1" applyBorder="1" applyAlignment="1">
      <alignment horizontal="distributed" vertical="center"/>
    </xf>
    <xf numFmtId="179" fontId="11" fillId="0" borderId="40" xfId="0" applyNumberFormat="1" applyFont="1" applyBorder="1" applyAlignment="1">
      <alignment horizontal="center" vertical="center" shrinkToFit="1"/>
    </xf>
    <xf numFmtId="180" fontId="11" fillId="0" borderId="30" xfId="0" applyNumberFormat="1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/>
    </xf>
    <xf numFmtId="0" fontId="15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49" fontId="9" fillId="0" borderId="81" xfId="0" applyNumberFormat="1" applyFont="1" applyBorder="1" applyAlignment="1">
      <alignment horizontal="center" vertical="center"/>
    </xf>
    <xf numFmtId="177" fontId="9" fillId="0" borderId="84" xfId="0" applyNumberFormat="1" applyFont="1" applyBorder="1" applyAlignment="1">
      <alignment horizontal="center" vertical="center"/>
    </xf>
    <xf numFmtId="177" fontId="9" fillId="0" borderId="82" xfId="0" applyNumberFormat="1" applyFont="1" applyBorder="1" applyAlignment="1">
      <alignment horizontal="center" vertical="center"/>
    </xf>
    <xf numFmtId="177" fontId="9" fillId="0" borderId="83" xfId="0" applyNumberFormat="1" applyFont="1" applyBorder="1" applyAlignment="1">
      <alignment horizontal="center" vertical="center"/>
    </xf>
    <xf numFmtId="177" fontId="9" fillId="0" borderId="81" xfId="0" applyNumberFormat="1" applyFont="1" applyBorder="1" applyAlignment="1">
      <alignment horizontal="center" vertical="center"/>
    </xf>
    <xf numFmtId="0" fontId="21" fillId="0" borderId="82" xfId="0" applyFont="1" applyBorder="1" applyAlignment="1">
      <alignment horizontal="distributed" vertical="center"/>
    </xf>
    <xf numFmtId="0" fontId="9" fillId="0" borderId="12" xfId="0" applyFont="1" applyBorder="1">
      <alignment vertical="center"/>
    </xf>
    <xf numFmtId="0" fontId="15" fillId="0" borderId="63" xfId="0" applyFont="1" applyBorder="1" applyAlignment="1">
      <alignment horizontal="distributed" vertical="center"/>
    </xf>
    <xf numFmtId="49" fontId="9" fillId="0" borderId="69" xfId="0" applyNumberFormat="1" applyFont="1" applyBorder="1" applyAlignment="1">
      <alignment horizontal="center" vertical="center"/>
    </xf>
    <xf numFmtId="0" fontId="9" fillId="0" borderId="69" xfId="0" applyFont="1" applyBorder="1" applyAlignment="1">
      <alignment horizontal="distributed" vertical="center"/>
    </xf>
    <xf numFmtId="177" fontId="9" fillId="0" borderId="69" xfId="0" applyNumberFormat="1" applyFont="1" applyBorder="1" applyAlignment="1">
      <alignment horizontal="center" vertical="center"/>
    </xf>
    <xf numFmtId="0" fontId="9" fillId="3" borderId="19" xfId="0" applyFont="1" applyFill="1" applyBorder="1" applyAlignment="1">
      <alignment horizontal="left" vertical="center"/>
    </xf>
    <xf numFmtId="49" fontId="15" fillId="0" borderId="3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distributed" vertical="center"/>
    </xf>
    <xf numFmtId="0" fontId="15" fillId="0" borderId="48" xfId="0" applyFont="1" applyBorder="1" applyAlignment="1">
      <alignment horizontal="distributed" vertical="center"/>
    </xf>
    <xf numFmtId="180" fontId="9" fillId="0" borderId="32" xfId="0" applyNumberFormat="1" applyFont="1" applyBorder="1" applyAlignment="1">
      <alignment horizontal="center" vertical="center"/>
    </xf>
    <xf numFmtId="180" fontId="9" fillId="0" borderId="9" xfId="0" applyNumberFormat="1" applyFont="1" applyBorder="1" applyAlignment="1">
      <alignment horizontal="center" vertical="center"/>
    </xf>
    <xf numFmtId="180" fontId="9" fillId="0" borderId="10" xfId="0" applyNumberFormat="1" applyFont="1" applyBorder="1" applyAlignment="1">
      <alignment horizontal="center" vertical="center"/>
    </xf>
    <xf numFmtId="180" fontId="9" fillId="0" borderId="47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1" fillId="0" borderId="63" xfId="0" applyFont="1" applyBorder="1" applyAlignment="1">
      <alignment horizontal="distributed" vertical="center"/>
    </xf>
    <xf numFmtId="179" fontId="11" fillId="0" borderId="51" xfId="0" applyNumberFormat="1" applyFont="1" applyBorder="1" applyAlignment="1">
      <alignment horizontal="center" vertical="center" shrinkToFit="1"/>
    </xf>
    <xf numFmtId="179" fontId="11" fillId="0" borderId="91" xfId="0" applyNumberFormat="1" applyFont="1" applyBorder="1" applyAlignment="1">
      <alignment horizontal="center" vertical="center" shrinkToFit="1"/>
    </xf>
    <xf numFmtId="179" fontId="11" fillId="0" borderId="92" xfId="0" applyNumberFormat="1" applyFont="1" applyBorder="1" applyAlignment="1">
      <alignment horizontal="center" vertical="center" shrinkToFit="1"/>
    </xf>
    <xf numFmtId="179" fontId="11" fillId="0" borderId="19" xfId="0" applyNumberFormat="1" applyFont="1" applyBorder="1" applyAlignment="1">
      <alignment horizontal="center" vertical="center"/>
    </xf>
    <xf numFmtId="180" fontId="11" fillId="0" borderId="30" xfId="0" applyNumberFormat="1" applyFont="1" applyBorder="1" applyAlignment="1">
      <alignment horizontal="center" vertical="center"/>
    </xf>
    <xf numFmtId="180" fontId="11" fillId="0" borderId="69" xfId="0" applyNumberFormat="1" applyFont="1" applyBorder="1" applyAlignment="1">
      <alignment horizontal="center" vertical="center"/>
    </xf>
    <xf numFmtId="179" fontId="11" fillId="0" borderId="10" xfId="0" applyNumberFormat="1" applyFont="1" applyBorder="1" applyAlignment="1">
      <alignment horizontal="center" vertical="center"/>
    </xf>
    <xf numFmtId="179" fontId="11" fillId="0" borderId="86" xfId="0" applyNumberFormat="1" applyFont="1" applyBorder="1" applyAlignment="1">
      <alignment horizontal="center" vertical="center"/>
    </xf>
    <xf numFmtId="179" fontId="11" fillId="0" borderId="28" xfId="0" applyNumberFormat="1" applyFont="1" applyBorder="1" applyAlignment="1">
      <alignment horizontal="center" vertical="center"/>
    </xf>
    <xf numFmtId="179" fontId="11" fillId="0" borderId="30" xfId="0" applyNumberFormat="1" applyFont="1" applyBorder="1" applyAlignment="1">
      <alignment horizontal="center" vertical="center"/>
    </xf>
    <xf numFmtId="179" fontId="11" fillId="0" borderId="30" xfId="0" applyNumberFormat="1" applyFont="1" applyBorder="1" applyAlignment="1">
      <alignment horizontal="distributed" vertical="center" wrapText="1"/>
    </xf>
    <xf numFmtId="179" fontId="11" fillId="0" borderId="18" xfId="0" applyNumberFormat="1" applyFont="1" applyBorder="1" applyAlignment="1">
      <alignment horizontal="distributed" vertical="center"/>
    </xf>
    <xf numFmtId="179" fontId="11" fillId="0" borderId="62" xfId="0" applyNumberFormat="1" applyFont="1" applyBorder="1" applyAlignment="1">
      <alignment horizontal="center" vertical="center"/>
    </xf>
    <xf numFmtId="179" fontId="11" fillId="0" borderId="91" xfId="0" applyNumberFormat="1" applyFont="1" applyBorder="1" applyAlignment="1">
      <alignment horizontal="center" vertical="center"/>
    </xf>
    <xf numFmtId="179" fontId="11" fillId="0" borderId="39" xfId="0" applyNumberFormat="1" applyFont="1" applyBorder="1" applyAlignment="1">
      <alignment horizontal="center" vertical="center"/>
    </xf>
    <xf numFmtId="179" fontId="11" fillId="0" borderId="92" xfId="0" applyNumberFormat="1" applyFont="1" applyBorder="1" applyAlignment="1">
      <alignment horizontal="center" vertical="center"/>
    </xf>
    <xf numFmtId="180" fontId="11" fillId="0" borderId="56" xfId="0" applyNumberFormat="1" applyFont="1" applyBorder="1" applyAlignment="1">
      <alignment horizontal="center" vertical="center"/>
    </xf>
    <xf numFmtId="180" fontId="11" fillId="0" borderId="29" xfId="0" applyNumberFormat="1" applyFont="1" applyBorder="1" applyAlignment="1">
      <alignment horizontal="center" vertical="center"/>
    </xf>
    <xf numFmtId="0" fontId="9" fillId="0" borderId="89" xfId="0" applyFont="1" applyBorder="1">
      <alignment vertical="center"/>
    </xf>
    <xf numFmtId="0" fontId="10" fillId="0" borderId="99" xfId="0" applyFont="1" applyBorder="1" applyAlignment="1">
      <alignment horizontal="center" vertical="center"/>
    </xf>
    <xf numFmtId="0" fontId="15" fillId="0" borderId="81" xfId="0" applyFont="1" applyBorder="1" applyAlignment="1">
      <alignment horizontal="distributed" vertical="center"/>
    </xf>
    <xf numFmtId="0" fontId="15" fillId="0" borderId="83" xfId="0" applyFont="1" applyBorder="1" applyAlignment="1">
      <alignment horizontal="distributed" vertical="center"/>
    </xf>
    <xf numFmtId="0" fontId="15" fillId="0" borderId="89" xfId="0" applyFont="1" applyBorder="1" applyAlignment="1">
      <alignment horizontal="distributed" vertical="center"/>
    </xf>
    <xf numFmtId="0" fontId="9" fillId="0" borderId="84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20" xfId="0" applyFont="1" applyBorder="1">
      <alignment vertical="center"/>
    </xf>
    <xf numFmtId="179" fontId="11" fillId="0" borderId="28" xfId="0" applyNumberFormat="1" applyFont="1" applyBorder="1" applyAlignment="1">
      <alignment horizontal="distributed" vertical="center"/>
    </xf>
    <xf numFmtId="0" fontId="9" fillId="0" borderId="50" xfId="0" applyFont="1" applyBorder="1" applyAlignment="1">
      <alignment horizontal="center" vertical="center"/>
    </xf>
    <xf numFmtId="0" fontId="9" fillId="0" borderId="50" xfId="0" applyFont="1" applyBorder="1" applyAlignment="1">
      <alignment horizontal="distributed" vertical="center"/>
    </xf>
    <xf numFmtId="0" fontId="9" fillId="0" borderId="71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182" fontId="9" fillId="0" borderId="71" xfId="0" applyNumberFormat="1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1" xfId="0" applyFont="1" applyBorder="1" applyAlignment="1">
      <alignment horizontal="distributed" vertical="center"/>
    </xf>
    <xf numFmtId="0" fontId="15" fillId="0" borderId="23" xfId="0" applyFont="1" applyBorder="1" applyAlignment="1">
      <alignment horizontal="distributed" vertical="center"/>
    </xf>
    <xf numFmtId="182" fontId="9" fillId="0" borderId="52" xfId="0" applyNumberFormat="1" applyFont="1" applyBorder="1" applyAlignment="1">
      <alignment horizontal="center" vertical="center"/>
    </xf>
    <xf numFmtId="182" fontId="9" fillId="0" borderId="24" xfId="0" applyNumberFormat="1" applyFont="1" applyBorder="1" applyAlignment="1">
      <alignment horizontal="center" vertical="center"/>
    </xf>
    <xf numFmtId="182" fontId="9" fillId="0" borderId="53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0" fontId="24" fillId="0" borderId="3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 wrapText="1"/>
    </xf>
    <xf numFmtId="49" fontId="9" fillId="0" borderId="63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82" fontId="9" fillId="2" borderId="63" xfId="0" applyNumberFormat="1" applyFont="1" applyFill="1" applyBorder="1" applyAlignment="1">
      <alignment horizontal="center" vertical="center"/>
    </xf>
    <xf numFmtId="0" fontId="9" fillId="0" borderId="104" xfId="0" applyFont="1" applyBorder="1">
      <alignment vertical="center"/>
    </xf>
    <xf numFmtId="49" fontId="9" fillId="0" borderId="84" xfId="0" applyNumberFormat="1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182" fontId="9" fillId="0" borderId="82" xfId="0" applyNumberFormat="1" applyFont="1" applyBorder="1" applyAlignment="1">
      <alignment horizontal="center" vertical="center"/>
    </xf>
    <xf numFmtId="182" fontId="9" fillId="0" borderId="83" xfId="0" applyNumberFormat="1" applyFont="1" applyBorder="1" applyAlignment="1">
      <alignment horizontal="center" vertical="center"/>
    </xf>
    <xf numFmtId="179" fontId="9" fillId="0" borderId="106" xfId="0" applyNumberFormat="1" applyFont="1" applyBorder="1" applyAlignment="1">
      <alignment horizontal="center" vertical="center"/>
    </xf>
    <xf numFmtId="182" fontId="15" fillId="0" borderId="16" xfId="0" applyNumberFormat="1" applyFont="1" applyBorder="1" applyAlignment="1">
      <alignment horizontal="distributed" vertical="center"/>
    </xf>
    <xf numFmtId="180" fontId="9" fillId="0" borderId="52" xfId="0" applyNumberFormat="1" applyFont="1" applyBorder="1" applyAlignment="1">
      <alignment horizontal="center" vertical="center"/>
    </xf>
    <xf numFmtId="49" fontId="9" fillId="3" borderId="60" xfId="0" applyNumberFormat="1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distributed" vertical="center"/>
    </xf>
    <xf numFmtId="0" fontId="9" fillId="3" borderId="38" xfId="0" applyFont="1" applyFill="1" applyBorder="1" applyAlignment="1">
      <alignment horizontal="distributed" vertical="center"/>
    </xf>
    <xf numFmtId="182" fontId="9" fillId="3" borderId="60" xfId="0" applyNumberFormat="1" applyFont="1" applyFill="1" applyBorder="1" applyAlignment="1" applyProtection="1">
      <alignment horizontal="distributed" vertical="center"/>
      <protection locked="0"/>
    </xf>
    <xf numFmtId="182" fontId="9" fillId="3" borderId="37" xfId="0" applyNumberFormat="1" applyFont="1" applyFill="1" applyBorder="1" applyAlignment="1" applyProtection="1">
      <alignment horizontal="distributed" vertical="center"/>
      <protection locked="0"/>
    </xf>
    <xf numFmtId="182" fontId="9" fillId="3" borderId="21" xfId="0" applyNumberFormat="1" applyFont="1" applyFill="1" applyBorder="1" applyAlignment="1" applyProtection="1">
      <alignment horizontal="distributed" vertical="center"/>
      <protection locked="0"/>
    </xf>
    <xf numFmtId="0" fontId="9" fillId="3" borderId="29" xfId="0" applyFont="1" applyFill="1" applyBorder="1" applyAlignment="1" applyProtection="1">
      <alignment horizontal="distributed" vertical="center"/>
      <protection locked="0"/>
    </xf>
    <xf numFmtId="0" fontId="9" fillId="3" borderId="36" xfId="0" applyFont="1" applyFill="1" applyBorder="1" applyAlignment="1" applyProtection="1">
      <alignment horizontal="distributed" vertical="center"/>
      <protection locked="0"/>
    </xf>
    <xf numFmtId="0" fontId="9" fillId="3" borderId="81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distributed" vertical="center"/>
    </xf>
    <xf numFmtId="0" fontId="9" fillId="3" borderId="85" xfId="0" applyFont="1" applyFill="1" applyBorder="1" applyAlignment="1">
      <alignment horizontal="distributed" vertical="center"/>
    </xf>
    <xf numFmtId="182" fontId="9" fillId="3" borderId="84" xfId="0" applyNumberFormat="1" applyFont="1" applyFill="1" applyBorder="1" applyAlignment="1" applyProtection="1">
      <alignment horizontal="distributed" vertical="center"/>
      <protection locked="0"/>
    </xf>
    <xf numFmtId="182" fontId="9" fillId="3" borderId="82" xfId="0" applyNumberFormat="1" applyFont="1" applyFill="1" applyBorder="1" applyAlignment="1" applyProtection="1">
      <alignment horizontal="distributed" vertical="center"/>
      <protection locked="0"/>
    </xf>
    <xf numFmtId="182" fontId="9" fillId="3" borderId="83" xfId="0" applyNumberFormat="1" applyFont="1" applyFill="1" applyBorder="1" applyAlignment="1" applyProtection="1">
      <alignment horizontal="distributed" vertical="center"/>
      <protection locked="0"/>
    </xf>
    <xf numFmtId="0" fontId="9" fillId="3" borderId="89" xfId="0" applyFont="1" applyFill="1" applyBorder="1" applyAlignment="1" applyProtection="1">
      <alignment horizontal="distributed" vertical="center"/>
      <protection locked="0"/>
    </xf>
    <xf numFmtId="0" fontId="9" fillId="3" borderId="81" xfId="0" applyFont="1" applyFill="1" applyBorder="1" applyAlignment="1" applyProtection="1">
      <alignment horizontal="distributed" vertical="center"/>
      <protection locked="0"/>
    </xf>
    <xf numFmtId="0" fontId="9" fillId="3" borderId="19" xfId="0" applyFont="1" applyFill="1" applyBorder="1" applyAlignment="1">
      <alignment horizontal="distributed" vertical="center"/>
    </xf>
    <xf numFmtId="182" fontId="9" fillId="3" borderId="63" xfId="0" applyNumberFormat="1" applyFont="1" applyFill="1" applyBorder="1" applyAlignment="1" applyProtection="1">
      <alignment horizontal="distributed" vertical="center"/>
      <protection locked="0"/>
    </xf>
    <xf numFmtId="182" fontId="9" fillId="3" borderId="19" xfId="0" applyNumberFormat="1" applyFont="1" applyFill="1" applyBorder="1" applyAlignment="1" applyProtection="1">
      <alignment horizontal="distributed" vertical="center"/>
      <protection locked="0"/>
    </xf>
    <xf numFmtId="182" fontId="9" fillId="3" borderId="51" xfId="0" applyNumberFormat="1" applyFont="1" applyFill="1" applyBorder="1" applyAlignment="1" applyProtection="1">
      <alignment horizontal="distributed" vertical="center"/>
      <protection locked="0"/>
    </xf>
    <xf numFmtId="0" fontId="9" fillId="3" borderId="19" xfId="0" applyFont="1" applyFill="1" applyBorder="1" applyAlignment="1" applyProtection="1">
      <alignment horizontal="distributed" vertical="center"/>
      <protection locked="0"/>
    </xf>
    <xf numFmtId="0" fontId="9" fillId="3" borderId="37" xfId="0" applyFont="1" applyFill="1" applyBorder="1" applyAlignment="1">
      <alignment horizontal="center" vertical="center"/>
    </xf>
    <xf numFmtId="176" fontId="9" fillId="3" borderId="57" xfId="0" applyNumberFormat="1" applyFont="1" applyFill="1" applyBorder="1" applyAlignment="1" applyProtection="1">
      <alignment horizontal="center" vertical="center"/>
      <protection locked="0"/>
    </xf>
    <xf numFmtId="176" fontId="9" fillId="3" borderId="14" xfId="0" applyNumberFormat="1" applyFont="1" applyFill="1" applyBorder="1" applyAlignment="1" applyProtection="1">
      <alignment horizontal="center" vertical="center"/>
      <protection locked="0"/>
    </xf>
    <xf numFmtId="176" fontId="9" fillId="3" borderId="14" xfId="0" applyNumberFormat="1" applyFont="1" applyFill="1" applyBorder="1" applyProtection="1">
      <alignment vertical="center"/>
      <protection locked="0"/>
    </xf>
    <xf numFmtId="176" fontId="9" fillId="3" borderId="15" xfId="0" applyNumberFormat="1" applyFont="1" applyFill="1" applyBorder="1" applyProtection="1">
      <alignment vertical="center"/>
      <protection locked="0"/>
    </xf>
    <xf numFmtId="176" fontId="9" fillId="3" borderId="30" xfId="0" applyNumberFormat="1" applyFont="1" applyFill="1" applyBorder="1" applyAlignment="1" applyProtection="1">
      <alignment horizontal="center" vertical="center"/>
      <protection locked="0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9" fillId="3" borderId="61" xfId="0" applyFont="1" applyFill="1" applyBorder="1" applyAlignment="1">
      <alignment horizontal="distributed" vertical="center"/>
    </xf>
    <xf numFmtId="176" fontId="9" fillId="3" borderId="63" xfId="0" applyNumberFormat="1" applyFont="1" applyFill="1" applyBorder="1" applyAlignment="1" applyProtection="1">
      <alignment horizontal="center" vertical="center"/>
      <protection locked="0"/>
    </xf>
    <xf numFmtId="176" fontId="9" fillId="3" borderId="19" xfId="0" applyNumberFormat="1" applyFont="1" applyFill="1" applyBorder="1" applyAlignment="1" applyProtection="1">
      <alignment horizontal="center" vertical="center"/>
      <protection locked="0"/>
    </xf>
    <xf numFmtId="176" fontId="9" fillId="3" borderId="19" xfId="0" applyNumberFormat="1" applyFont="1" applyFill="1" applyBorder="1" applyProtection="1">
      <alignment vertical="center"/>
      <protection locked="0"/>
    </xf>
    <xf numFmtId="176" fontId="9" fillId="3" borderId="51" xfId="0" applyNumberFormat="1" applyFont="1" applyFill="1" applyBorder="1" applyProtection="1">
      <alignment vertical="center"/>
      <protection locked="0"/>
    </xf>
    <xf numFmtId="49" fontId="15" fillId="3" borderId="57" xfId="0" applyNumberFormat="1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distributed" vertical="center"/>
    </xf>
    <xf numFmtId="0" fontId="9" fillId="3" borderId="59" xfId="0" applyFont="1" applyFill="1" applyBorder="1" applyAlignment="1">
      <alignment horizontal="center" vertical="center"/>
    </xf>
    <xf numFmtId="182" fontId="9" fillId="3" borderId="57" xfId="0" applyNumberFormat="1" applyFont="1" applyFill="1" applyBorder="1" applyAlignment="1">
      <alignment horizontal="center" vertical="center"/>
    </xf>
    <xf numFmtId="182" fontId="9" fillId="3" borderId="14" xfId="0" applyNumberFormat="1" applyFont="1" applyFill="1" applyBorder="1" applyAlignment="1">
      <alignment horizontal="center" vertical="center"/>
    </xf>
    <xf numFmtId="182" fontId="9" fillId="3" borderId="15" xfId="0" applyNumberFormat="1" applyFont="1" applyFill="1" applyBorder="1" applyAlignment="1">
      <alignment horizontal="center" vertical="center"/>
    </xf>
    <xf numFmtId="179" fontId="9" fillId="3" borderId="11" xfId="0" applyNumberFormat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49" fontId="15" fillId="3" borderId="63" xfId="0" applyNumberFormat="1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distributed" vertical="center"/>
    </xf>
    <xf numFmtId="0" fontId="9" fillId="3" borderId="61" xfId="0" applyFont="1" applyFill="1" applyBorder="1" applyAlignment="1">
      <alignment horizontal="center" vertical="center"/>
    </xf>
    <xf numFmtId="182" fontId="9" fillId="3" borderId="63" xfId="0" applyNumberFormat="1" applyFont="1" applyFill="1" applyBorder="1" applyAlignment="1">
      <alignment horizontal="center" vertical="center"/>
    </xf>
    <xf numFmtId="182" fontId="9" fillId="3" borderId="19" xfId="0" applyNumberFormat="1" applyFont="1" applyFill="1" applyBorder="1" applyAlignment="1">
      <alignment horizontal="center" vertical="center"/>
    </xf>
    <xf numFmtId="182" fontId="9" fillId="3" borderId="51" xfId="0" applyNumberFormat="1" applyFont="1" applyFill="1" applyBorder="1" applyAlignment="1">
      <alignment horizontal="center" vertical="center"/>
    </xf>
    <xf numFmtId="179" fontId="9" fillId="3" borderId="16" xfId="0" applyNumberFormat="1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distributed" vertical="center"/>
    </xf>
    <xf numFmtId="0" fontId="9" fillId="3" borderId="38" xfId="0" applyFont="1" applyFill="1" applyBorder="1" applyAlignment="1">
      <alignment horizontal="center" vertical="center"/>
    </xf>
    <xf numFmtId="49" fontId="9" fillId="3" borderId="63" xfId="0" applyNumberFormat="1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49" fontId="15" fillId="3" borderId="28" xfId="0" applyNumberFormat="1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distributed" vertical="center"/>
    </xf>
    <xf numFmtId="0" fontId="15" fillId="3" borderId="13" xfId="0" applyFont="1" applyFill="1" applyBorder="1" applyAlignment="1">
      <alignment horizontal="distributed" vertical="center"/>
    </xf>
    <xf numFmtId="0" fontId="15" fillId="3" borderId="21" xfId="0" applyFont="1" applyFill="1" applyBorder="1" applyAlignment="1">
      <alignment horizontal="distributed" vertical="center"/>
    </xf>
    <xf numFmtId="182" fontId="9" fillId="3" borderId="11" xfId="0" applyNumberFormat="1" applyFont="1" applyFill="1" applyBorder="1" applyAlignment="1">
      <alignment horizontal="center" vertical="center"/>
    </xf>
    <xf numFmtId="49" fontId="15" fillId="3" borderId="30" xfId="0" applyNumberFormat="1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distributed" vertical="center"/>
    </xf>
    <xf numFmtId="0" fontId="15" fillId="3" borderId="18" xfId="0" applyFont="1" applyFill="1" applyBorder="1" applyAlignment="1">
      <alignment horizontal="distributed" vertical="center"/>
    </xf>
    <xf numFmtId="0" fontId="15" fillId="3" borderId="51" xfId="0" applyFont="1" applyFill="1" applyBorder="1" applyAlignment="1">
      <alignment horizontal="distributed" vertical="center"/>
    </xf>
    <xf numFmtId="182" fontId="15" fillId="3" borderId="63" xfId="0" applyNumberFormat="1" applyFont="1" applyFill="1" applyBorder="1" applyAlignment="1">
      <alignment horizontal="distributed" vertical="center"/>
    </xf>
    <xf numFmtId="182" fontId="9" fillId="3" borderId="16" xfId="0" applyNumberFormat="1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82" xfId="0" applyFont="1" applyFill="1" applyBorder="1" applyAlignment="1">
      <alignment horizontal="distributed" vertical="center"/>
    </xf>
    <xf numFmtId="0" fontId="15" fillId="3" borderId="59" xfId="0" applyFont="1" applyFill="1" applyBorder="1" applyAlignment="1">
      <alignment horizontal="distributed" vertical="center"/>
    </xf>
    <xf numFmtId="180" fontId="9" fillId="3" borderId="63" xfId="0" applyNumberFormat="1" applyFont="1" applyFill="1" applyBorder="1" applyAlignment="1">
      <alignment horizontal="center" vertical="center"/>
    </xf>
    <xf numFmtId="180" fontId="9" fillId="3" borderId="14" xfId="0" applyNumberFormat="1" applyFont="1" applyFill="1" applyBorder="1" applyAlignment="1">
      <alignment horizontal="center" vertical="center"/>
    </xf>
    <xf numFmtId="180" fontId="9" fillId="3" borderId="12" xfId="0" applyNumberFormat="1" applyFont="1" applyFill="1" applyBorder="1" applyAlignment="1">
      <alignment horizontal="center" vertical="center"/>
    </xf>
    <xf numFmtId="180" fontId="9" fillId="3" borderId="15" xfId="0" applyNumberFormat="1" applyFont="1" applyFill="1" applyBorder="1" applyAlignment="1">
      <alignment horizontal="center" vertical="center"/>
    </xf>
    <xf numFmtId="180" fontId="9" fillId="3" borderId="88" xfId="0" applyNumberFormat="1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8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distributed" vertical="center"/>
    </xf>
    <xf numFmtId="180" fontId="9" fillId="3" borderId="19" xfId="0" applyNumberFormat="1" applyFont="1" applyFill="1" applyBorder="1" applyAlignment="1">
      <alignment horizontal="center" vertical="center"/>
    </xf>
    <xf numFmtId="180" fontId="9" fillId="3" borderId="20" xfId="0" applyNumberFormat="1" applyFont="1" applyFill="1" applyBorder="1" applyAlignment="1">
      <alignment horizontal="center" vertical="center"/>
    </xf>
    <xf numFmtId="180" fontId="9" fillId="3" borderId="21" xfId="0" applyNumberFormat="1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distributed" vertical="center"/>
    </xf>
    <xf numFmtId="0" fontId="15" fillId="3" borderId="19" xfId="0" applyFont="1" applyFill="1" applyBorder="1" applyAlignment="1">
      <alignment horizontal="center" vertical="center"/>
    </xf>
    <xf numFmtId="180" fontId="9" fillId="3" borderId="5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101" xfId="0" applyFont="1" applyBorder="1" applyAlignment="1" applyProtection="1">
      <alignment horizontal="center" vertical="center"/>
      <protection locked="0"/>
    </xf>
    <xf numFmtId="0" fontId="10" fillId="0" borderId="103" xfId="0" applyFont="1" applyBorder="1" applyAlignment="1" applyProtection="1">
      <alignment horizontal="center" vertical="center"/>
      <protection locked="0"/>
    </xf>
    <xf numFmtId="0" fontId="10" fillId="0" borderId="101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96" xfId="0" applyFont="1" applyBorder="1" applyAlignment="1">
      <alignment horizontal="center" vertical="center" shrinkToFit="1"/>
    </xf>
    <xf numFmtId="0" fontId="10" fillId="0" borderId="98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7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91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67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0" fontId="2" fillId="0" borderId="65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shrinkToFit="1"/>
    </xf>
    <xf numFmtId="180" fontId="2" fillId="0" borderId="56" xfId="0" applyNumberFormat="1" applyFont="1" applyBorder="1" applyAlignment="1">
      <alignment horizontal="center" vertical="center"/>
    </xf>
    <xf numFmtId="180" fontId="2" fillId="0" borderId="50" xfId="0" applyNumberFormat="1" applyFont="1" applyBorder="1" applyAlignment="1">
      <alignment horizontal="center" vertical="center"/>
    </xf>
    <xf numFmtId="180" fontId="2" fillId="0" borderId="54" xfId="0" applyNumberFormat="1" applyFont="1" applyBorder="1" applyAlignment="1">
      <alignment horizontal="center" vertical="center"/>
    </xf>
    <xf numFmtId="176" fontId="2" fillId="0" borderId="56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textRotation="255"/>
    </xf>
    <xf numFmtId="0" fontId="2" fillId="0" borderId="54" xfId="0" applyFont="1" applyBorder="1" applyAlignment="1">
      <alignment horizontal="center" vertical="center" textRotation="255"/>
    </xf>
    <xf numFmtId="0" fontId="2" fillId="0" borderId="60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 shrinkToFit="1"/>
    </xf>
    <xf numFmtId="0" fontId="2" fillId="0" borderId="7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4" fillId="0" borderId="70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/>
    </xf>
    <xf numFmtId="176" fontId="2" fillId="0" borderId="73" xfId="0" applyNumberFormat="1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6" fontId="2" fillId="0" borderId="76" xfId="0" applyNumberFormat="1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4" xfId="0" applyFont="1" applyBorder="1" applyAlignment="1">
      <alignment horizontal="center" vertical="center" textRotation="255"/>
    </xf>
    <xf numFmtId="0" fontId="2" fillId="0" borderId="58" xfId="0" applyFont="1" applyBorder="1" applyAlignment="1">
      <alignment horizontal="center" vertical="center" textRotation="255"/>
    </xf>
    <xf numFmtId="0" fontId="2" fillId="0" borderId="6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</cellXfs>
  <cellStyles count="1">
    <cellStyle name="標準" xfId="0" builtinId="0"/>
  </cellStyles>
  <dxfs count="2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G丸ｺﾞｼｯｸM-PRO"/>
        <family val="3"/>
        <charset val="128"/>
        <scheme val="none"/>
      </font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G丸ｺﾞｼｯｸM-PRO"/>
        <family val="3"/>
        <charset val="128"/>
        <scheme val="none"/>
      </font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HG丸ｺﾞｼｯｸM-PRO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1" diagonalDown="0">
        <left style="thin">
          <color indexed="64"/>
        </left>
        <right style="medium">
          <color indexed="64"/>
        </right>
        <top/>
        <bottom/>
        <diagonal style="thin">
          <color indexed="64"/>
        </diagonal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1" diagonalDown="0">
        <left style="thin">
          <color indexed="64"/>
        </left>
        <right style="thin">
          <color indexed="64"/>
        </right>
        <top/>
        <bottom/>
        <diagonal style="thin">
          <color indexed="64"/>
        </diagonal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medium">
          <color indexed="64"/>
        </right>
        <top/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80" formatCode="0_);[Red]\(0\)"/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1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diagon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1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80" formatCode="0_);[Red]\(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80" formatCode="0_);[Red]\(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</dxf>
    <dxf>
      <border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numFmt numFmtId="179" formatCode="0.0_);[Red]\(0.0\)"/>
      <alignment horizontal="distributed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0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9" formatCode="0.0_);[Red]\(0.0\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7" formatCode="0_ 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distributed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76" formatCode="0.0_ 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182" formatCode="0.0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30" formatCode="@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distributed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メイリオ"/>
        <family val="3"/>
        <charset val="12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9" defaultPivotStyle="PivotStyleLight16">
    <tableStyle name="テーブル スタイル 1" pivot="0" count="1" xr9:uid="{C8576F6E-37F2-40DC-ADF2-A85CF9443B4F}">
      <tableStyleElement type="wholeTable" dxfId="29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E6C1BA-25D1-40BC-9C4E-565C29C24713}" name="テーブル2" displayName="テーブル2" ref="A13:N17" totalsRowShown="0" headerRowDxfId="290" dataDxfId="288" headerRowBorderDxfId="289" tableBorderDxfId="287">
  <autoFilter ref="A13:N17" xr:uid="{C5E6C1BA-25D1-40BC-9C4E-565C29C24713}"/>
  <sortState xmlns:xlrd2="http://schemas.microsoft.com/office/spreadsheetml/2017/richdata2" ref="A14:N17">
    <sortCondition ref="N13:N17"/>
  </sortState>
  <tableColumns count="14">
    <tableColumn id="5" xr3:uid="{A23C0148-6480-4952-8E9F-95E4FF0839D3}" name="通番" dataDxfId="286"/>
    <tableColumn id="1" xr3:uid="{1BE009F1-3048-47A1-AEA1-B4604A9C109C}" name="射座" dataDxfId="285"/>
    <tableColumn id="2" xr3:uid="{AA984AD5-8403-48AD-8CA5-847C844350C5}" name="ID" dataDxfId="284">
      <calculatedColumnFormula>IF(D14="","",INDEX($Q$14:$Q$17,MATCH(テーブル2[[#This Row],[氏　　名]],$R$14:$R$17,0)))</calculatedColumnFormula>
    </tableColumn>
    <tableColumn id="3" xr3:uid="{252DD8A2-D3E3-4960-908E-072FCE798852}" name="氏　　名" dataDxfId="283"/>
    <tableColumn id="4" xr3:uid="{2EAF924B-AF2C-42A0-B68F-6397B471F783}" name="学　校" dataDxfId="282">
      <calculatedColumnFormula>IF(テーブル2[[#This Row],[氏　　名]]="","",INDEX($P$14:$P$17,MATCH(テーブル2[[#This Row],[氏　　名]],$R$14:$R$17,0)))</calculatedColumnFormula>
    </tableColumn>
    <tableColumn id="18" xr3:uid="{690EFDD7-9C76-4590-9382-A19857CC2C06}" name="学年" dataDxfId="281">
      <calculatedColumnFormula>IF(テーブル2[[#This Row],[氏　　名]]="","",INDEX($S$14:$S$17,MATCH(テーブル2[[#This Row],[氏　　名]],$R$14:$R$17,0)))</calculatedColumnFormula>
    </tableColumn>
    <tableColumn id="6" xr3:uid="{D39AB9DC-2695-41FF-81BB-5D4C68B7E9A9}" name="1" dataDxfId="280"/>
    <tableColumn id="7" xr3:uid="{E0911C7A-F131-467A-BA5A-84CEFC648BE9}" name="2" dataDxfId="279"/>
    <tableColumn id="8" xr3:uid="{1C9E0BCA-ADF5-487A-B87A-A6000B397008}" name="3" dataDxfId="278"/>
    <tableColumn id="9" xr3:uid="{393BD3CC-42EA-4790-B673-D2C090B84331}" name="4" dataDxfId="277"/>
    <tableColumn id="10" xr3:uid="{053EF73F-DE95-4A8A-AC8B-33F81B4A5C99}" name="5" dataDxfId="276"/>
    <tableColumn id="11" xr3:uid="{17D384F8-3B1B-412D-9074-1873789239AB}" name="6" dataDxfId="275"/>
    <tableColumn id="12" xr3:uid="{B9A649D5-FF78-41D3-8357-F78B3BFBACD1}" name="合　計" dataDxfId="274"/>
    <tableColumn id="13" xr3:uid="{A4602954-9DF1-4256-B8E7-72741C51E18C}" name="順位" dataDxfId="273">
      <calculatedColumnFormula>IF(M14="","",RANK(M14,$M$14:$M$17))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973645-5CDA-4BF9-8BDA-16E9BBF76EFC}" name="テーブル1" displayName="テーブル1" ref="A20:N22" totalsRowShown="0" headerRowDxfId="272" dataDxfId="271" tableBorderDxfId="270">
  <autoFilter ref="A20:N22" xr:uid="{42973645-5CDA-4BF9-8BDA-16E9BBF76EFC}"/>
  <sortState xmlns:xlrd2="http://schemas.microsoft.com/office/spreadsheetml/2017/richdata2" ref="A21:N22">
    <sortCondition ref="A20:A22"/>
  </sortState>
  <tableColumns count="14">
    <tableColumn id="1" xr3:uid="{A868DFA4-8F7B-4784-B7B0-04BD2B2DF420}" name="通番" dataDxfId="269"/>
    <tableColumn id="2" xr3:uid="{C056BEE8-1647-4DCB-AB07-72472A8EE857}" name="射座" dataDxfId="268"/>
    <tableColumn id="3" xr3:uid="{8218749E-9CE4-4F6B-A872-DE0B1E88C244}" name="ID" dataDxfId="267">
      <calculatedColumnFormula>IF(テーブル1[[#This Row],[氏　　名]]="","",INDEX($Q$21:$Q$22,MATCH(テーブル1[[#This Row],[氏　　名]],$R$21:$R$22,0)))</calculatedColumnFormula>
    </tableColumn>
    <tableColumn id="4" xr3:uid="{1E1B69D1-14A1-4F11-BFDA-5209965BE696}" name="氏　　名" dataDxfId="266"/>
    <tableColumn id="5" xr3:uid="{8924E8ED-18DB-4E74-8ABA-007506D12C81}" name="学　校" dataDxfId="265">
      <calculatedColumnFormula>IF(テーブル1[[#This Row],[氏　　名]]="","",INDEX($P$21:$P$22,MATCH(テーブル1[[#This Row],[氏　　名]],$R$21:$R$22,0)))</calculatedColumnFormula>
    </tableColumn>
    <tableColumn id="6" xr3:uid="{897B519B-09B0-4F62-A853-A6B5111B9702}" name="学年" dataDxfId="264">
      <calculatedColumnFormula>IF(テーブル1[[#This Row],[氏　　名]]="","",INDEX($S$21:$S$22,MATCH(テーブル1[[#This Row],[氏　　名]],$R$21:$R$22,0)))</calculatedColumnFormula>
    </tableColumn>
    <tableColumn id="11" xr3:uid="{2F03838C-BC19-49B4-9652-6A10F11BD93B}" name="1" dataDxfId="263"/>
    <tableColumn id="12" xr3:uid="{65444B0A-0473-4563-AEB0-484F0F54CF1E}" name="2" dataDxfId="262"/>
    <tableColumn id="13" xr3:uid="{CB0B0602-2260-47D8-BFA3-9C74FEAFBD88}" name="3" dataDxfId="261"/>
    <tableColumn id="14" xr3:uid="{0B941D2F-4AE6-4EA1-975F-E006CF445E19}" name="4" dataDxfId="260"/>
    <tableColumn id="15" xr3:uid="{6C86DE96-DB09-464C-ABBD-C7F6CED39F44}" name="5" dataDxfId="259"/>
    <tableColumn id="16" xr3:uid="{E70318AE-E877-4DBD-9F2C-7FD67EDC7F48}" name="6" dataDxfId="258"/>
    <tableColumn id="17" xr3:uid="{5ECFA6BE-0933-4939-8F94-AA136BA6FE23}" name="合　計" dataDxfId="257">
      <calculatedColumnFormula>IF(G21="","",SUM(G21:L21))</calculatedColumnFormula>
    </tableColumn>
    <tableColumn id="18" xr3:uid="{A229591F-011B-4427-AA69-AB104A2D27AB}" name="順位" dataDxfId="256">
      <calculatedColumnFormula>IF(M21="","",RANK(M21,$M$21:$M$22))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A1BB1D1-1ACD-4DB4-B183-B78FA98CE65D}" name="テーブル10" displayName="テーブル10" ref="A12:O14" totalsRowShown="0" headerRowDxfId="255" headerRowBorderDxfId="254" tableBorderDxfId="253">
  <autoFilter ref="A12:O14" xr:uid="{0A1BB1D1-1ACD-4DB4-B183-B78FA98CE65D}"/>
  <sortState xmlns:xlrd2="http://schemas.microsoft.com/office/spreadsheetml/2017/richdata2" ref="A13:N14">
    <sortCondition ref="A12:A14"/>
  </sortState>
  <tableColumns count="15">
    <tableColumn id="14" xr3:uid="{6C5C709E-98C4-43D9-B6B2-3ED556EFE584}" name="通番" dataDxfId="252"/>
    <tableColumn id="1" xr3:uid="{C7D60797-7C21-415A-A2B1-5C4497CF4B0B}" name="射座" dataDxfId="251"/>
    <tableColumn id="2" xr3:uid="{A8195BE9-2870-477F-A928-8A3FE7C8C68B}" name="ID" dataDxfId="250"/>
    <tableColumn id="3" xr3:uid="{B2CF6385-3386-45CC-95DF-8D7F1DB4FBAA}" name="氏　　名" dataDxfId="249"/>
    <tableColumn id="4" xr3:uid="{304179D8-48F9-4202-BE11-924372E3F3A4}" name="学　校" dataDxfId="248"/>
    <tableColumn id="5" xr3:uid="{20FBCDA1-AE77-4C32-8F51-8CA97C1C3B0D}" name="学年" dataDxfId="247"/>
    <tableColumn id="6" xr3:uid="{9D284A49-0762-4273-8139-80903CD4B6C7}" name="1" dataDxfId="246"/>
    <tableColumn id="7" xr3:uid="{A44466AC-A14C-46B8-855A-09254FBB6D1B}" name="2" dataDxfId="245"/>
    <tableColumn id="8" xr3:uid="{874B08B8-A491-4B04-A4F3-CA1821BAD478}" name="3" dataDxfId="244"/>
    <tableColumn id="9" xr3:uid="{9070306E-58F7-4124-A3B8-E962DD82E24F}" name="4" dataDxfId="243"/>
    <tableColumn id="10" xr3:uid="{FC4BCDC9-4B8E-46BF-9908-685DCE8B8807}" name="5" dataDxfId="242"/>
    <tableColumn id="11" xr3:uid="{87CB53C4-BCE0-4152-8422-D1E79E438BB5}" name="6" dataDxfId="241"/>
    <tableColumn id="12" xr3:uid="{7B41D457-5BD6-402A-BDF8-F972B34C52C3}" name="合　計" dataDxfId="240">
      <calculatedColumnFormula>IF(G13="","",SUM(G13:L13))</calculatedColumnFormula>
    </tableColumn>
    <tableColumn id="13" xr3:uid="{D5749AB3-CE75-440C-A6AA-3031180DC1B8}" name="X" dataDxfId="239"/>
    <tableColumn id="15" xr3:uid="{BBA04342-897C-4EC3-B44E-6AB59D586B50}" name="順位" dataDxfId="238">
      <calculatedColumnFormula>IF(M13="","",RANK(M13,$M$13:$M$14,0))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40FBFF7-E718-4861-9A60-48A283F1B9E0}" name="テーブル1013" displayName="テーブル1013" ref="A17:O18" totalsRowShown="0" headerRowDxfId="237" headerRowBorderDxfId="236" tableBorderDxfId="235">
  <autoFilter ref="A17:O18" xr:uid="{440FBFF7-E718-4861-9A60-48A283F1B9E0}"/>
  <sortState xmlns:xlrd2="http://schemas.microsoft.com/office/spreadsheetml/2017/richdata2" ref="A18:N18">
    <sortCondition ref="A12:A14"/>
  </sortState>
  <tableColumns count="15">
    <tableColumn id="14" xr3:uid="{2E258F03-9511-43A4-9EC2-5B25A56A1283}" name="通番" dataDxfId="234"/>
    <tableColumn id="1" xr3:uid="{5E493817-F28B-4097-B173-C4E2DB1B02CD}" name="射座" dataDxfId="233"/>
    <tableColumn id="2" xr3:uid="{323FEC5B-E48A-4509-B25F-84BA44916CB5}" name="ID" dataDxfId="232"/>
    <tableColumn id="3" xr3:uid="{93EA3AB2-CD51-4C40-A08D-F8872D0064CF}" name="氏　　名" dataDxfId="231"/>
    <tableColumn id="4" xr3:uid="{41D1A0C9-A32C-4445-B314-BE137469CC3B}" name="学　校" dataDxfId="230"/>
    <tableColumn id="5" xr3:uid="{A6FE3FBD-98A1-4693-AEB2-E8B0CF97B7B3}" name="学年" dataDxfId="229"/>
    <tableColumn id="6" xr3:uid="{0B2E53FF-ABAD-4762-89A1-3343577E64F1}" name="1" dataDxfId="228"/>
    <tableColumn id="7" xr3:uid="{77EAE70B-2CB1-486E-8B54-3E5024A92F98}" name="2" dataDxfId="227"/>
    <tableColumn id="8" xr3:uid="{4E2D684A-41BC-4C72-BCCB-C2B4461B8329}" name="3" dataDxfId="226"/>
    <tableColumn id="9" xr3:uid="{EAA5550C-E333-4508-8FBB-8EA0B85A86DD}" name="4" dataDxfId="225"/>
    <tableColumn id="10" xr3:uid="{CAA9E3A0-F10E-4364-9C56-61F7AF7E7BD9}" name="5" dataDxfId="224"/>
    <tableColumn id="11" xr3:uid="{F8692363-E652-4494-BBDC-948B5C7A2027}" name="6" dataDxfId="223"/>
    <tableColumn id="12" xr3:uid="{6065732A-46EF-41F5-8A60-AA2854F0B968}" name="合　計" dataDxfId="222"/>
    <tableColumn id="13" xr3:uid="{EDE691F5-D702-4092-8414-787B26AE73FE}" name="X" dataDxfId="221"/>
    <tableColumn id="15" xr3:uid="{07533916-392B-48B7-98D0-B25189A04C9E}" name="順位" dataDxfId="2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86F59BC-8DA1-478D-A74C-5ACF2E498910}" name="テーブル101316" displayName="テーブル101316" ref="A21:O24" totalsRowShown="0" headerRowDxfId="219" headerRowBorderDxfId="218" tableBorderDxfId="217">
  <autoFilter ref="A21:O24" xr:uid="{286F59BC-8DA1-478D-A74C-5ACF2E498910}"/>
  <sortState xmlns:xlrd2="http://schemas.microsoft.com/office/spreadsheetml/2017/richdata2" ref="A22:N22">
    <sortCondition ref="A12:A14"/>
  </sortState>
  <tableColumns count="15">
    <tableColumn id="14" xr3:uid="{154DC6E1-1F55-4D7C-8436-4D5B1F492EFB}" name="通番" dataDxfId="216"/>
    <tableColumn id="1" xr3:uid="{8B8A9014-22C0-46C7-96A3-0BA74EBE89B3}" name="射座" dataDxfId="215"/>
    <tableColumn id="2" xr3:uid="{C57093D2-921E-468B-A14A-D500B73FC25D}" name="ID" dataDxfId="214"/>
    <tableColumn id="3" xr3:uid="{22EE14D8-3F84-43BB-AE02-9A2D6B5D557F}" name="氏　　名" dataDxfId="213"/>
    <tableColumn id="4" xr3:uid="{B783E8C8-D92A-4727-ACF8-CA334EA92E04}" name="所属" dataDxfId="212"/>
    <tableColumn id="5" xr3:uid="{F1AD642A-9D01-4DBF-B481-693CC5D081DE}" name="学年" dataDxfId="211"/>
    <tableColumn id="6" xr3:uid="{7B25C38D-CFA1-4B86-A747-CF81EF12C9B5}" name="1" dataDxfId="210"/>
    <tableColumn id="7" xr3:uid="{CB4B9C28-6C18-4DF9-9B27-091757169EE2}" name="2" dataDxfId="209"/>
    <tableColumn id="8" xr3:uid="{172740CD-EB84-4B75-8402-F72F23EAFA3D}" name="3" dataDxfId="208"/>
    <tableColumn id="9" xr3:uid="{E54BCE8A-FB5F-4FF8-965D-93593DC36A6F}" name="4" dataDxfId="207"/>
    <tableColumn id="10" xr3:uid="{3D73C9F1-B512-4492-8A3B-4D4A39AC1AE7}" name="5" dataDxfId="206"/>
    <tableColumn id="11" xr3:uid="{86C10043-F026-4B18-9E5A-BC1233877D91}" name="6" dataDxfId="205"/>
    <tableColumn id="12" xr3:uid="{F82A2057-1F1D-4009-B62D-A403C49CD79B}" name="合　計" dataDxfId="204"/>
    <tableColumn id="13" xr3:uid="{EBBDC43D-A208-4903-859C-7363149258CA}" name="X" dataDxfId="203"/>
    <tableColumn id="15" xr3:uid="{1F8646CC-ABFA-4C2A-9E11-ACD75D2E16E8}" name="順位" dataDxfId="2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F6CA30-B401-4ED7-99F3-39EBEFD0BBB7}" name="テーブル3" displayName="テーブル3" ref="A12:O28" totalsRowShown="0" headerRowDxfId="201" dataDxfId="200" tableBorderDxfId="199">
  <autoFilter ref="A12:O28" xr:uid="{D7F6CA30-B401-4ED7-99F3-39EBEFD0BBB7}"/>
  <sortState xmlns:xlrd2="http://schemas.microsoft.com/office/spreadsheetml/2017/richdata2" ref="A13:O28">
    <sortCondition ref="N12:N28"/>
  </sortState>
  <tableColumns count="15">
    <tableColumn id="1" xr3:uid="{FFEAEFAA-003E-449A-A2CF-91F5E0DCFB64}" name="通番" dataDxfId="198"/>
    <tableColumn id="2" xr3:uid="{68A81147-674D-454C-9FBA-8E95C4C330F7}" name="射座" dataDxfId="197"/>
    <tableColumn id="3" xr3:uid="{266AAE43-F9F9-41F8-AD87-8DCE1A5F66AD}" name="ID" dataDxfId="196">
      <calculatedColumnFormula>IF(テーブル3[[#This Row],[氏　　名]]="","",INDEX($Q$13:$Q$28,MATCH(テーブル3[[#This Row],[氏　　名]],$R$13:$R$28,0)))</calculatedColumnFormula>
    </tableColumn>
    <tableColumn id="4" xr3:uid="{E839AE58-F894-4CB7-AA15-4FF45444F439}" name="氏　　名" dataDxfId="195"/>
    <tableColumn id="5" xr3:uid="{74D555FE-64CA-4FA8-8B44-8F38A40A840D}" name="学　校" dataDxfId="194">
      <calculatedColumnFormula>IF(テーブル3[[#This Row],[氏　　名]]="","",INDEX($P$13:$P$28,MATCH(D13,$R$13:$R$28,0)))</calculatedColumnFormula>
    </tableColumn>
    <tableColumn id="19" xr3:uid="{29B728EC-020A-4555-819B-C4525B6B55EB}" name="学年" dataDxfId="193">
      <calculatedColumnFormula>IF(テーブル3[[#This Row],[氏　　名]]="","",INDEX($S$13:$S$28,MATCH(D13,$R$13:$R$28,0)))</calculatedColumnFormula>
    </tableColumn>
    <tableColumn id="20" xr3:uid="{76D109C8-F150-462F-903D-706646C55F84}" name="1" dataDxfId="192"/>
    <tableColumn id="21" xr3:uid="{BACADD15-28CD-40C7-A189-641FC931F531}" name="2" dataDxfId="191"/>
    <tableColumn id="22" xr3:uid="{4DB64090-F0C9-4EF1-BB81-FE9124971CD1}" name="3" dataDxfId="190"/>
    <tableColumn id="23" xr3:uid="{22E41454-BA5B-447E-A12C-E3B32C9B72E0}" name="4" dataDxfId="189"/>
    <tableColumn id="24" xr3:uid="{23C57002-679F-4D5C-A6E3-47C107714F7E}" name="5" dataDxfId="188"/>
    <tableColumn id="25" xr3:uid="{9A6641E0-E4BF-4EAA-A740-32A8D29B143E}" name="6" dataDxfId="187"/>
    <tableColumn id="26" xr3:uid="{5A47EF60-691C-412F-B19B-0CC19E4021BA}" name="合　計" dataDxfId="186"/>
    <tableColumn id="27" xr3:uid="{4BC77F64-CDD5-4598-A643-9457E1ABF624}" name="順位" dataDxfId="0">
      <calculatedColumnFormula>IF(M13="","",RANK(M13,$M$13:$M$28))</calculatedColumnFormula>
    </tableColumn>
    <tableColumn id="6" xr3:uid="{B009FD94-B79E-004F-BEB7-4FAA5BA79C96}" name="X" dataDxfId="1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B42ABD-7CC3-4267-B326-7959F1368633}" name="テーブル5" displayName="テーブル5" ref="A31:O52" totalsRowShown="0" headerRowDxfId="184" dataDxfId="183" tableBorderDxfId="182">
  <autoFilter ref="A31:O52" xr:uid="{2FB42ABD-7CC3-4267-B326-7959F1368633}"/>
  <sortState xmlns:xlrd2="http://schemas.microsoft.com/office/spreadsheetml/2017/richdata2" ref="A32:O52">
    <sortCondition ref="N31:N52"/>
  </sortState>
  <tableColumns count="15">
    <tableColumn id="1" xr3:uid="{DBE4DFCA-F83C-42C0-BA91-00125BC7FCD6}" name="通番" dataDxfId="181"/>
    <tableColumn id="2" xr3:uid="{E7DE20D0-FBF1-4FD9-9D8B-A576A0EEBA18}" name="射座" dataDxfId="180"/>
    <tableColumn id="3" xr3:uid="{72910377-24EB-4161-B4D0-15A2D5EA07EF}" name="ID" dataDxfId="179">
      <calculatedColumnFormula>IF(テーブル5[[#This Row],[氏　　名]]="","",INDEX($Q$32:$Q$50,MATCH(D32,$R$32:$R$50,0)))</calculatedColumnFormula>
    </tableColumn>
    <tableColumn id="4" xr3:uid="{71446527-4985-40CE-B57F-8CA40C0AA962}" name="氏　　名" dataDxfId="178"/>
    <tableColumn id="5" xr3:uid="{3415ADCF-F9BF-4472-A967-E7C2E82E95D5}" name="学　校" dataDxfId="177">
      <calculatedColumnFormula>IF(テーブル5[[#This Row],[氏　　名]]="","",INDEX($P$32:$P$50,MATCH(D32,$R$32:$R$50,0)))</calculatedColumnFormula>
    </tableColumn>
    <tableColumn id="6" xr3:uid="{944C275C-D99C-48EE-805D-B1F78DF875F4}" name="学年" dataDxfId="176">
      <calculatedColumnFormula>IF(テーブル5[[#This Row],[氏　　名]]="","",INDEX($S$32:$S$50,MATCH(D32,$R$32:$R$50,0)))</calculatedColumnFormula>
    </tableColumn>
    <tableColumn id="11" xr3:uid="{2F972EE9-82DE-4FD8-89CD-EF120DF82DDE}" name="1" dataDxfId="175"/>
    <tableColumn id="12" xr3:uid="{6115BF18-769C-407F-958C-7D59F3923667}" name="2" dataDxfId="174"/>
    <tableColumn id="13" xr3:uid="{98619EDF-BBBB-4363-AC9C-15C1DD357087}" name="3" dataDxfId="173"/>
    <tableColumn id="14" xr3:uid="{61A9B674-DFDE-47F9-B04F-F21D2F5EECD3}" name="4" dataDxfId="172"/>
    <tableColumn id="15" xr3:uid="{98C339F0-8F08-4561-B958-9FA8A9CB63EA}" name="5" dataDxfId="171"/>
    <tableColumn id="16" xr3:uid="{86B77FA4-5500-40F8-B950-9778F211D840}" name="6" dataDxfId="170"/>
    <tableColumn id="17" xr3:uid="{FF04F576-CBDF-4F44-A096-4616641C954B}" name="合　計" dataDxfId="169">
      <calculatedColumnFormula>IF(G32="","",SUM(G32:L32))</calculatedColumnFormula>
    </tableColumn>
    <tableColumn id="18" xr3:uid="{FD6526DA-0876-4902-ACC9-863ACAF6A13D}" name="順位" dataDxfId="168">
      <calculatedColumnFormula>IF(M32="","",RANK(M32,$M$32:$M$52))</calculatedColumnFormula>
    </tableColumn>
    <tableColumn id="7" xr3:uid="{0625D018-E679-A541-9C03-C87879284C0C}" name="X" dataDxfId="16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3E391F-049F-450F-B1A2-41731F36FBB7}" name="テーブル6" displayName="テーブル6" ref="A12:P25" totalsRowShown="0" headerRowDxfId="166" dataDxfId="165" tableBorderDxfId="164">
  <autoFilter ref="A12:P25" xr:uid="{3A3E391F-049F-450F-B1A2-41731F36FBB7}"/>
  <sortState xmlns:xlrd2="http://schemas.microsoft.com/office/spreadsheetml/2017/richdata2" ref="A13:P25">
    <sortCondition ref="O12:O25"/>
  </sortState>
  <tableColumns count="16">
    <tableColumn id="1" xr3:uid="{A43929BB-CD49-4707-9890-F2EFFD101701}" name="通番" dataDxfId="163"/>
    <tableColumn id="2" xr3:uid="{847BF577-CF27-4819-A3CD-68CFA931D225}" name="列5" dataDxfId="162">
      <calculatedColumnFormula>#REF!</calculatedColumnFormula>
    </tableColumn>
    <tableColumn id="3" xr3:uid="{2E8C3E04-40F5-4654-9AF9-4EBA140D220E}" name="射座" dataDxfId="161"/>
    <tableColumn id="4" xr3:uid="{0569FEC9-E0EE-4798-A3BC-18CA5D485AB8}" name="ID" dataDxfId="160">
      <calculatedColumnFormula>IF(テーブル6[[#This Row],[氏　　名]]="","",INDEX($S$13:$S$25,MATCH(E13,$T$13:$T$25,0)))</calculatedColumnFormula>
    </tableColumn>
    <tableColumn id="5" xr3:uid="{EE9DDB8B-76F9-4B68-A254-5EFFE2B99173}" name="氏　　名" dataDxfId="159"/>
    <tableColumn id="21" xr3:uid="{BF38BCEC-64F3-4AFD-A3DD-991C5FB6B48C}" name="学　校" dataDxfId="158">
      <calculatedColumnFormula>IF(テーブル6[[#This Row],[氏　　名]]="","",INDEX($R$13:$R$25,MATCH(E13,$T$13:$T$25,0)))</calculatedColumnFormula>
    </tableColumn>
    <tableColumn id="22" xr3:uid="{0A007AC1-8BB9-470E-9610-EEE2E324A729}" name="学年" dataDxfId="157">
      <calculatedColumnFormula>IF(テーブル6[[#This Row],[氏　　名]]="","",INDEX($U$13:$U$25,MATCH(E13,$T$13:$T$25,0)))</calculatedColumnFormula>
    </tableColumn>
    <tableColumn id="23" xr3:uid="{D43B9B7A-BEB8-45FF-8B68-8E2B04A2BE54}" name="1" dataDxfId="156"/>
    <tableColumn id="24" xr3:uid="{79168AC5-7540-496F-B477-3E3F464CFF10}" name="2" dataDxfId="155"/>
    <tableColumn id="25" xr3:uid="{C22D71A4-EA6A-4681-AC7F-2F6370C53504}" name="3" dataDxfId="154"/>
    <tableColumn id="26" xr3:uid="{9F49F86A-D53B-4B38-87E0-CED16B25BEFE}" name="4" dataDxfId="153"/>
    <tableColumn id="27" xr3:uid="{5DE31A5C-B09F-4102-BFE1-E901BABA8C33}" name="5" dataDxfId="152"/>
    <tableColumn id="28" xr3:uid="{F27E37F3-2A1B-49E9-A6B3-1DA84D050F1B}" name="6" dataDxfId="151"/>
    <tableColumn id="29" xr3:uid="{8E0BA98A-0F90-43CB-B4BC-E572C4CC8C33}" name="合　計" dataDxfId="150">
      <calculatedColumnFormula>IF(H13="","",SUM(H13:M13))</calculatedColumnFormula>
    </tableColumn>
    <tableColumn id="30" xr3:uid="{1B161743-A951-4FF8-9218-EAB955A25A02}" name="順位" dataDxfId="149">
      <calculatedColumnFormula>IF(N13="","",RANK(N13,$N$13:$N$25))</calculatedColumnFormula>
    </tableColumn>
    <tableColumn id="31" xr3:uid="{42E6D254-4F44-42F3-B86B-83769323EAFD}" name="X" dataDxfId="14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C2F247F-F1BD-4831-A487-7963EA937CF2}" name="テーブル7" displayName="テーブル7" ref="A28:P38" totalsRowShown="0" headerRowDxfId="147" dataDxfId="146" tableBorderDxfId="145">
  <autoFilter ref="A28:P38" xr:uid="{1C2F247F-F1BD-4831-A487-7963EA937CF2}"/>
  <sortState xmlns:xlrd2="http://schemas.microsoft.com/office/spreadsheetml/2017/richdata2" ref="A29:P38">
    <sortCondition ref="O28:O38"/>
  </sortState>
  <tableColumns count="16">
    <tableColumn id="1" xr3:uid="{A3728D75-30BD-4FFE-BD3F-1CA93980DC14}" name="通番" dataDxfId="144"/>
    <tableColumn id="2" xr3:uid="{1C6EB9C1-6E63-49C8-A63E-27586537B0C6}" name="列1" dataDxfId="143"/>
    <tableColumn id="3" xr3:uid="{BCF018A0-A15D-4F46-88C9-121A98D2019E}" name="射座" dataDxfId="142"/>
    <tableColumn id="4" xr3:uid="{3CD10392-4DE3-4A29-96BC-B12AC0AA5CC7}" name="ID" dataDxfId="141">
      <calculatedColumnFormula>IF(テーブル7[[#This Row],[氏　　名]]="","",INDEX($S$29:$S$38,MATCH(E29,$T$29:$T$38,0)))</calculatedColumnFormula>
    </tableColumn>
    <tableColumn id="5" xr3:uid="{5A74A4F3-9FD5-42F1-B578-6E5EE082FC1F}" name="氏　　名" dataDxfId="140"/>
    <tableColumn id="6" xr3:uid="{92F5D986-EAFA-4D87-B214-6942EAF73D3A}" name="学　校" dataDxfId="139">
      <calculatedColumnFormula>IF(テーブル7[[#This Row],[氏　　名]]="","",INDEX($R$29:$R$38,MATCH(E29,$T$29:$T$38,0)))</calculatedColumnFormula>
    </tableColumn>
    <tableColumn id="7" xr3:uid="{7769308B-2CB3-46D4-B8CB-1A6DA3640E1A}" name="学年" dataDxfId="138">
      <calculatedColumnFormula>IF(テーブル7[[#This Row],[氏　　名]]="","",INDEX($U$29:$U$38,MATCH(E29,$T$29:$T$38,0)))</calculatedColumnFormula>
    </tableColumn>
    <tableColumn id="8" xr3:uid="{B0ED420D-1DB4-46BE-90C5-FD7379BDC000}" name="1" dataDxfId="137"/>
    <tableColumn id="9" xr3:uid="{57337123-960A-46D1-B632-8E7035E063AA}" name="2" dataDxfId="136"/>
    <tableColumn id="10" xr3:uid="{65256E37-7F3A-437C-9C9C-1A9424398066}" name="3" dataDxfId="135"/>
    <tableColumn id="11" xr3:uid="{EF94EAD0-6B9B-42CB-90B8-7C10B54F5693}" name="4" dataDxfId="134"/>
    <tableColumn id="12" xr3:uid="{FD5CAA2F-26B4-4592-87C4-21CEFD65E43A}" name="5" dataDxfId="133"/>
    <tableColumn id="13" xr3:uid="{794A9371-2261-4E98-A537-E65FE050A154}" name="6" dataDxfId="132"/>
    <tableColumn id="14" xr3:uid="{DE66B5A2-188D-44B4-A2AF-D076C938B021}" name="合　計" dataDxfId="131">
      <calculatedColumnFormula>IF(H29="","",SUM(H29:M29))</calculatedColumnFormula>
    </tableColumn>
    <tableColumn id="15" xr3:uid="{671B71DB-2FFD-4D61-9B7D-5B36C42B270B}" name="順位" dataDxfId="130">
      <calculatedColumnFormula>IF(N29="","",RANK(N29,$N$29:$N$39))</calculatedColumnFormula>
    </tableColumn>
    <tableColumn id="16" xr3:uid="{7FA010D0-6F8F-463C-B318-B179C089DB60}" name="X" dataDxfId="12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98ADBF-5549-4D48-9B5E-1502EB7947D4}" name="テーブル4" displayName="テーブル4" ref="A15:J19" totalsRowShown="0" headerRowDxfId="128" dataDxfId="127" tableBorderDxfId="126">
  <autoFilter ref="A15:J19" xr:uid="{1598ADBF-5549-4D48-9B5E-1502EB7947D4}"/>
  <tableColumns count="10">
    <tableColumn id="10" xr3:uid="{8A596D4F-A4BC-4BFE-A3E8-32464AB5F5C5}" name="通番" dataDxfId="125"/>
    <tableColumn id="1" xr3:uid="{8A9CCBD4-B04B-44FB-B7A9-C0C6D911EE1C}" name="チーム名" dataDxfId="124"/>
    <tableColumn id="2" xr3:uid="{82B82B00-6D4A-4B7C-91F5-AB0E7DE9D480}" name="氏　　名" dataDxfId="123">
      <calculatedColumnFormula>INDEX(BR予選!$R$13:$R$28,MATCH(テーブル4[[#This Row],[チーム名]]&amp;1,BR予選!$T$13:$T$28,0))</calculatedColumnFormula>
    </tableColumn>
    <tableColumn id="3" xr3:uid="{0D5EE4A9-7819-4124-86A4-15555619A69B}" name="得　点" dataDxfId="122">
      <calculatedColumnFormula>INDEX(テーブル3[合　計],MATCH(C16,テーブル3[氏　　名],0))</calculatedColumnFormula>
    </tableColumn>
    <tableColumn id="4" xr3:uid="{D96271D2-0903-4F27-A1C7-60558129CA0C}" name="氏　　名2" dataDxfId="121">
      <calculatedColumnFormula>INDEX(BR予選!$R$13:$R$28,MATCH(テーブル4[[#This Row],[チーム名]]&amp;2,BR予選!$T$13:$T$28,0))</calculatedColumnFormula>
    </tableColumn>
    <tableColumn id="5" xr3:uid="{528F9FC3-126E-4953-9E0B-1B41D32E72DC}" name="得　点2" dataDxfId="120">
      <calculatedColumnFormula>INDEX(テーブル3[合　計],MATCH(E16,テーブル3[氏　　名],0))</calculatedColumnFormula>
    </tableColumn>
    <tableColumn id="6" xr3:uid="{6393025D-DB5C-4016-B511-4C2F03E80623}" name="氏　　名3" dataDxfId="119">
      <calculatedColumnFormula>INDEX(BR予選!$R$13:$R$28,MATCH(テーブル4[[#This Row],[チーム名]]&amp;3,BR予選!$T$13:$T$28,0))</calculatedColumnFormula>
    </tableColumn>
    <tableColumn id="7" xr3:uid="{2FC84375-AB49-4F1C-9629-6F584606051A}" name="得　点3" dataDxfId="118">
      <calculatedColumnFormula>INDEX(テーブル3[合　計],MATCH(G16,テーブル3[氏　　名],0))</calculatedColumnFormula>
    </tableColumn>
    <tableColumn id="8" xr3:uid="{52747AAC-F14D-4913-9221-24E3EC311F6F}" name="合計点" dataDxfId="117">
      <calculatedColumnFormula>IF(テーブル4[[#This Row],[得　点]]="","",テーブル4[[#This Row],[得　点]]+テーブル4[[#This Row],[得　点2]]+テーブル4[[#This Row],[得　点3]])</calculatedColumnFormula>
    </tableColumn>
    <tableColumn id="9" xr3:uid="{921C4CD3-EFF5-4750-98CD-3B0BF665C6FD}" name="順位" dataDxfId="116">
      <calculatedColumnFormula>IF(I16="","",RANK(I16,$I$16:$I$19))</calculatedColumnFormula>
    </tableColumn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4904229-9616-410F-8B7B-4696C12F760A}" name="テーブル8" displayName="テーブル8" ref="A23:J28" totalsRowShown="0" headerRowDxfId="115" dataDxfId="113" headerRowBorderDxfId="114" tableBorderDxfId="112">
  <autoFilter ref="A23:J28" xr:uid="{74904229-9616-410F-8B7B-4696C12F760A}"/>
  <sortState xmlns:xlrd2="http://schemas.microsoft.com/office/spreadsheetml/2017/richdata2" ref="A24:J28">
    <sortCondition ref="J23:J28"/>
  </sortState>
  <tableColumns count="10">
    <tableColumn id="10" xr3:uid="{792C9DC1-0E70-49B5-8A92-167F156586A9}" name="通番" dataDxfId="111"/>
    <tableColumn id="1" xr3:uid="{DA3D3C42-A082-49C9-AE7D-22DF468594CD}" name="チーム名" dataDxfId="110"/>
    <tableColumn id="2" xr3:uid="{ED8949B1-8330-4F13-B182-21BDC5BFB2AE}" name="氏　　名" dataDxfId="109">
      <calculatedColumnFormula>INDEX(BR予選!$R$32:$R$50,MATCH(テーブル8[[#This Row],[チーム名]]&amp;1,BR予選!$T$32:$T$50,0))</calculatedColumnFormula>
    </tableColumn>
    <tableColumn id="3" xr3:uid="{BB88F21C-2C33-4DB1-812D-99A961B0EF1F}" name="得　点" dataDxfId="108">
      <calculatedColumnFormula>INDEX(テーブル5[合　計],MATCH(C24,テーブル5[氏　　名],0))</calculatedColumnFormula>
    </tableColumn>
    <tableColumn id="4" xr3:uid="{25B8EEB9-2600-4F77-916A-1EED31BF43C0}" name="氏　　名2" dataDxfId="107">
      <calculatedColumnFormula>INDEX(BR予選!$R$32:$R$50,MATCH(テーブル8[[#This Row],[チーム名]]&amp;2,BR予選!$T$32:$T$50,0))</calculatedColumnFormula>
    </tableColumn>
    <tableColumn id="5" xr3:uid="{F8504FC0-D0DA-47A6-9409-09119CAF9218}" name="得　点2" dataDxfId="106">
      <calculatedColumnFormula>INDEX(テーブル5[合　計],MATCH(E24,テーブル5[氏　　名],0))</calculatedColumnFormula>
    </tableColumn>
    <tableColumn id="6" xr3:uid="{42A88E2A-CE51-49E8-BB96-7F55044BB890}" name="氏　　名3" dataDxfId="105">
      <calculatedColumnFormula>INDEX(BR予選!$R$32:$R$50,MATCH(テーブル8[[#This Row],[チーム名]]&amp;3,BR予選!$T$32:$T$50,0))</calculatedColumnFormula>
    </tableColumn>
    <tableColumn id="7" xr3:uid="{DCBEC2CC-FFBA-4040-8149-CC4019EF5B12}" name="得　点3" dataDxfId="104">
      <calculatedColumnFormula>INDEX(テーブル5[合　計],MATCH(G24,テーブル5[氏　　名],0))</calculatedColumnFormula>
    </tableColumn>
    <tableColumn id="8" xr3:uid="{05F33C0F-225D-41CB-A7BB-A1B4CF76EF10}" name="合計点" dataDxfId="103">
      <calculatedColumnFormula>IF(テーブル8[[#This Row],[得　点]]="","",テーブル8[[#This Row],[得　点]]+テーブル8[[#This Row],[得　点2]]+テーブル8[[#This Row],[得　点3]])</calculatedColumnFormula>
    </tableColumn>
    <tableColumn id="9" xr3:uid="{BC38A0B1-A4F0-4621-A04B-0464D2B8A7AA}" name="順位" dataDxfId="102">
      <calculatedColumnFormula>IF(I24="","",RANK(I24,テーブル8[合計点],0))</calculatedColumnFormula>
    </tableColumn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2E8B750-A039-45E2-96BE-251533C6E2B9}" name="テーブル9" displayName="テーブル9" ref="A31:J36" totalsRowShown="0" headerRowDxfId="101" dataDxfId="99" headerRowBorderDxfId="100" tableBorderDxfId="98">
  <autoFilter ref="A31:J36" xr:uid="{D2E8B750-A039-45E2-96BE-251533C6E2B9}"/>
  <sortState xmlns:xlrd2="http://schemas.microsoft.com/office/spreadsheetml/2017/richdata2" ref="A32:J36">
    <sortCondition ref="J31:J36"/>
  </sortState>
  <tableColumns count="10">
    <tableColumn id="10" xr3:uid="{24F9A888-F044-42F8-851C-7BE29DDAA50E}" name="通番" dataDxfId="97"/>
    <tableColumn id="1" xr3:uid="{AEAD614B-6EB2-485A-BAB8-332A32E481DA}" name="チーム名" dataDxfId="96"/>
    <tableColumn id="2" xr3:uid="{B787E899-A094-49EF-9E28-85E3BBAEED60}" name="氏　　名" dataDxfId="95">
      <calculatedColumnFormula>INDEX(BP予選!$T$13:$T$25,MATCH(B32&amp;1,BP予選!$V$13:$V$25,0))</calculatedColumnFormula>
    </tableColumn>
    <tableColumn id="3" xr3:uid="{4068F09D-BD28-4741-8F36-E8263867D502}" name="得　点" dataDxfId="94">
      <calculatedColumnFormula>INDEX(テーブル6[合　計],MATCH(C32,テーブル6[氏　　名],0))</calculatedColumnFormula>
    </tableColumn>
    <tableColumn id="4" xr3:uid="{507ABC84-276C-4544-8B06-2FD82FF5F99D}" name="氏　　名2" dataDxfId="93">
      <calculatedColumnFormula>INDEX(BP予選!$T$13:$T$25,MATCH(テーブル9[[#This Row],[チーム名]]&amp;2,BP予選!$V$13:$V$25,0))</calculatedColumnFormula>
    </tableColumn>
    <tableColumn id="5" xr3:uid="{31D36C4B-9339-4D9E-9765-E6B82FD79202}" name="得　点2" dataDxfId="92">
      <calculatedColumnFormula>INDEX(テーブル6[合　計],MATCH(E32,テーブル6[氏　　名],0))</calculatedColumnFormula>
    </tableColumn>
    <tableColumn id="6" xr3:uid="{CDF789B1-3B1D-4DD2-A0AC-2D32ECF648E9}" name="氏　　名3" dataDxfId="91"/>
    <tableColumn id="7" xr3:uid="{6B9C1029-A506-4461-BF8B-4FC4C6E61B1F}" name="得　点3" dataDxfId="90"/>
    <tableColumn id="8" xr3:uid="{BBF4656C-EB2A-47EF-8042-8F75BFD6C9EE}" name="合計点" dataDxfId="89">
      <calculatedColumnFormula>IF(テーブル9[[#This Row],[得　点]]="","",テーブル9[[#This Row],[得　点]]+テーブル9[[#This Row],[得　点2]])</calculatedColumnFormula>
    </tableColumn>
    <tableColumn id="9" xr3:uid="{14696C67-12DF-4300-A670-B92DE7AF2263}" name="順位" dataDxfId="88">
      <calculatedColumnFormula>IF(I32="","",RANK(I32,テーブル9[合計点],0))</calculatedColumnFormula>
    </tableColumn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DDAC730-C073-4E30-8EF7-F9D26C6D4017}" name="テーブル11" displayName="テーブル11" ref="A2:J3" totalsRowShown="0" headerRowDxfId="87" dataDxfId="85" headerRowBorderDxfId="86" tableBorderDxfId="84" totalsRowBorderDxfId="83">
  <autoFilter ref="A2:J3" xr:uid="{ADDAC730-C073-4E30-8EF7-F9D26C6D4017}"/>
  <tableColumns count="10">
    <tableColumn id="1" xr3:uid="{13B75A33-CC51-4609-B139-8E05B2767DEC}" name="通番" dataDxfId="82"/>
    <tableColumn id="2" xr3:uid="{A8AB447F-0276-4370-8AAB-9480C4BCCE10}" name="チーム名" dataDxfId="81"/>
    <tableColumn id="3" xr3:uid="{0A30A07D-7AE7-4CC0-B94E-50CC4C03E43A}" name="氏　　名" dataDxfId="80">
      <calculatedColumnFormula>INDEX(AR予選!$R$14:$R$17,MATCH(テーブル11[[#This Row],[チーム名]]&amp;1,AR予選!$T$14:$T$17,0))</calculatedColumnFormula>
    </tableColumn>
    <tableColumn id="4" xr3:uid="{12B51B66-8EA6-43A2-91EF-DC55EBBC4C51}" name="得　点" dataDxfId="79">
      <calculatedColumnFormula>INDEX(テーブル2[合　計],MATCH(テーブル11[[#This Row],[氏　　名]],テーブル2[氏　　名],0))</calculatedColumnFormula>
    </tableColumn>
    <tableColumn id="5" xr3:uid="{F6581162-7AB8-4335-8F8F-B9BD6D2C4A96}" name="氏　　名2" dataDxfId="78">
      <calculatedColumnFormula>INDEX(AR予選!$R$14:$R$17,MATCH(テーブル11[[#This Row],[チーム名]]&amp;2,AR予選!$T$14:$T$17,0))</calculatedColumnFormula>
    </tableColumn>
    <tableColumn id="6" xr3:uid="{3EAF95C4-D322-4A03-B5AB-CFE6006B9672}" name="得　点2" dataDxfId="77">
      <calculatedColumnFormula>INDEX(テーブル2[合　計],MATCH(テーブル11[[#This Row],[氏　　名2]],テーブル2[氏　　名],0))</calculatedColumnFormula>
    </tableColumn>
    <tableColumn id="7" xr3:uid="{7CF3B968-4985-4723-BE6B-E49575CDFE93}" name="氏　　名3" dataDxfId="76">
      <calculatedColumnFormula>INDEX(AR予選!$R$14:$R$17,MATCH(テーブル11[[#This Row],[チーム名]]&amp;3,AR予選!$T$14:$T$17,0))</calculatedColumnFormula>
    </tableColumn>
    <tableColumn id="8" xr3:uid="{1071FA5B-B714-4402-8795-1B31F95BEB00}" name="得　点3" dataDxfId="75">
      <calculatedColumnFormula>INDEX(テーブル2[合　計],MATCH(テーブル11[[#This Row],[氏　　名3]],テーブル2[氏　　名],0))</calculatedColumnFormula>
    </tableColumn>
    <tableColumn id="9" xr3:uid="{3F596B0F-53CE-4AAD-9834-2CFE6A665919}" name="合計点" dataDxfId="74">
      <calculatedColumnFormula>IF(テーブル11[[#This Row],[得　点]]="","",テーブル11[[#This Row],[得　点]]+テーブル11[[#This Row],[得　点2]]+テーブル11[[#This Row],[得　点3]])</calculatedColumnFormula>
    </tableColumn>
    <tableColumn id="10" xr3:uid="{F183B166-642D-4F79-B063-14A77324A60E}" name="順位" dataDxfId="73">
      <calculatedColumnFormula>IF(テーブル11[[#This Row],[合計点]]="","",_xlfn.RANK.EQ(テーブル11[[#This Row],[合計点]],テーブル11[合計点],1))</calculatedColumnFormula>
    </tableColumn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E1DFB17-E685-4769-AAB4-1A1289EF7E4C}" name="テーブル1114" displayName="テーブル1114" ref="A6:J7" totalsRowShown="0" headerRowDxfId="72" dataDxfId="70" headerRowBorderDxfId="71" tableBorderDxfId="69" totalsRowBorderDxfId="68">
  <autoFilter ref="A6:J7" xr:uid="{FE1DFB17-E685-4769-AAB4-1A1289EF7E4C}"/>
  <tableColumns count="10">
    <tableColumn id="1" xr3:uid="{842779D9-DE6B-4CEF-B045-135441DAB08E}" name="通番" dataDxfId="67"/>
    <tableColumn id="2" xr3:uid="{B7E65D2E-BB08-45A4-B6A8-BBF0839DAEB4}" name="チーム名" dataDxfId="66"/>
    <tableColumn id="3" xr3:uid="{21309027-D65B-425F-9306-D532A06C9EA5}" name="氏　　名" dataDxfId="65">
      <calculatedColumnFormula>INDEX(AR予選!$R$21:$R$22,MATCH(テーブル1114[[#This Row],[チーム名]]&amp;1,AR予選!$T$21:$T$22,0))</calculatedColumnFormula>
    </tableColumn>
    <tableColumn id="4" xr3:uid="{C5116E4E-5773-40E5-AFC0-1535048D91B7}" name="得　点" dataDxfId="64">
      <calculatedColumnFormula>INDEX(テーブル1[合　計],MATCH(テーブル1114[[#This Row],[氏　　名]],テーブル1[氏　　名],0))</calculatedColumnFormula>
    </tableColumn>
    <tableColumn id="5" xr3:uid="{295D9AB5-3C86-473E-956A-884E61CE2D24}" name="氏　　名2" dataDxfId="63">
      <calculatedColumnFormula>INDEX(AR予選!$R$21:$R$22,MATCH(テーブル1114[[#This Row],[チーム名]]&amp;2,AR予選!$T$21:$T$22,0))</calculatedColumnFormula>
    </tableColumn>
    <tableColumn id="6" xr3:uid="{8241A587-4C7F-4B91-A160-8EC5AE7DC5C6}" name="得　点2" dataDxfId="62">
      <calculatedColumnFormula>INDEX(テーブル1[合　計],MATCH(テーブル1114[[#This Row],[氏　　名2]],テーブル1[氏　　名],0))</calculatedColumnFormula>
    </tableColumn>
    <tableColumn id="7" xr3:uid="{9B7AD549-DF90-4762-A796-B3FC0162DEC3}" name="氏　　名3" dataDxfId="61">
      <calculatedColumnFormula>INDEX(AR予選!$R$21:$R$22,MATCH(テーブル1114[[#This Row],[チーム名]]&amp;3,AR予選!$T$21:$T$22,0))</calculatedColumnFormula>
    </tableColumn>
    <tableColumn id="8" xr3:uid="{0BBFCAFF-16B4-446F-A6F9-6E70993B6F08}" name="得　点3" dataDxfId="60">
      <calculatedColumnFormula>INDEX(テーブル1[合　計],MATCH(テーブル1114[[#This Row],[氏　　名3]],テーブル1[氏　　名],0))</calculatedColumnFormula>
    </tableColumn>
    <tableColumn id="9" xr3:uid="{2C286386-5D35-45BC-93AF-7B737E4479A7}" name="合計点" dataDxfId="59">
      <calculatedColumnFormula>IF(テーブル1114[[#This Row],[得　点]]="","",テーブル1114[[#This Row],[得　点]]+テーブル1114[[#This Row],[得　点2]]+テーブル1114[[#This Row],[得　点3]])</calculatedColumnFormula>
    </tableColumn>
    <tableColumn id="10" xr3:uid="{35EB9F40-13EE-44CF-AB43-58AC5BB2274D}" name="順位" dataDxfId="58">
      <calculatedColumnFormula>IF(テーブル1114[[#This Row],[合計点]]="","",_xlfn.RANK.EQ(テーブル1114[[#This Row],[合計点]],テーブル1114[合計点],1))</calculatedColumnFormula>
    </tableColumn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3D6F4EC-FB72-425B-953C-56B82A30902B}" name="テーブル1115" displayName="テーブル1115" ref="A10:J11" totalsRowShown="0" headerRowDxfId="57" dataDxfId="55" headerRowBorderDxfId="56" tableBorderDxfId="54" totalsRowBorderDxfId="53">
  <autoFilter ref="A10:J11" xr:uid="{13D6F4EC-FB72-425B-953C-56B82A30902B}"/>
  <tableColumns count="10">
    <tableColumn id="1" xr3:uid="{8CBFD042-25DA-4EC1-A543-1084BAB68816}" name="通番" dataDxfId="52"/>
    <tableColumn id="2" xr3:uid="{A3B52924-D5F7-4CD4-89F1-0999ECFF7415}" name="チーム名" dataDxfId="51"/>
    <tableColumn id="3" xr3:uid="{6A4EC44D-D9A3-4518-9437-5159D8508FF5}" name="氏　　名" dataDxfId="50"/>
    <tableColumn id="4" xr3:uid="{114D36E5-5383-48B6-B35F-A4B6F9F8A128}" name="得　点" dataDxfId="49">
      <calculatedColumnFormula>INDEX(テーブル10[合　計],MATCH(テーブル1115[[#This Row],[氏　　名]],テーブル10[氏　　名],0))</calculatedColumnFormula>
    </tableColumn>
    <tableColumn id="5" xr3:uid="{414BA97E-02BD-4055-9311-8098F6D65D7C}" name="氏　　名2" dataDxfId="48"/>
    <tableColumn id="6" xr3:uid="{FF675F8E-BB5C-4397-8A93-A263EE97468B}" name="得　点2" dataDxfId="47">
      <calculatedColumnFormula>INDEX(テーブル10[合　計],MATCH(テーブル1115[[#This Row],[氏　　名2]],テーブル10[氏　　名],0))</calculatedColumnFormula>
    </tableColumn>
    <tableColumn id="7" xr3:uid="{7CEE04EC-C8DE-48F7-B563-E0CEDA2D74D5}" name="氏　　名3" dataDxfId="46"/>
    <tableColumn id="8" xr3:uid="{3FBFC181-538C-4C0F-A52B-B2CAC9FD7D4D}" name="得　点3" dataDxfId="45"/>
    <tableColumn id="9" xr3:uid="{21CD3FB9-BFA4-491B-B2CC-71F80D60AEE6}" name="合計点" dataDxfId="44">
      <calculatedColumnFormula>IF(テーブル1115[[#This Row],[得　点]]="","",テーブル1115[[#This Row],[得　点]]+テーブル1115[[#This Row],[得　点2]])</calculatedColumnFormula>
    </tableColumn>
    <tableColumn id="10" xr3:uid="{0088AB9E-D19B-45CE-A7E6-82B46E0C1B5F}" name="順位" dataDxfId="4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7EB0127-1BE4-40F1-B4E7-4693905A4CC1}" name="テーブル16" displayName="テーブル16" ref="A3:H8" totalsRowShown="0" headerRowDxfId="42" tableBorderDxfId="41">
  <autoFilter ref="A3:H8" xr:uid="{F94237B6-4194-4408-92DC-EB43B6A44943}"/>
  <sortState xmlns:xlrd2="http://schemas.microsoft.com/office/spreadsheetml/2017/richdata2" ref="A4:H8">
    <sortCondition ref="H3:H8"/>
  </sortState>
  <tableColumns count="8">
    <tableColumn id="1" xr3:uid="{0F326E7E-3F79-4AE4-A676-68C0AD708EE9}" name="列1" dataDxfId="40"/>
    <tableColumn id="2" xr3:uid="{5D2EFC84-7B21-4A7B-928B-0DF3418A74AD}" name="男子" dataDxfId="39"/>
    <tableColumn id="3" xr3:uid="{2FD5E229-D419-48B4-A5F7-685C928A881B}" name="AR得点" dataDxfId="38"/>
    <tableColumn id="4" xr3:uid="{5CDCB8BD-25DA-480C-972A-495793629569}" name="AP得点" dataDxfId="37"/>
    <tableColumn id="5" xr3:uid="{3BDB923A-9C83-4DC7-ACE3-A309FA812745}" name="BR得点" dataDxfId="36"/>
    <tableColumn id="6" xr3:uid="{41473E9C-FAD6-4293-94C4-850F95BF9CC3}" name="BP得点" dataDxfId="35"/>
    <tableColumn id="7" xr3:uid="{3B0BD780-87D7-40C9-B5F2-7E2B28492489}" name="計" dataDxfId="34">
      <calculatedColumnFormula>SUM(C4:F4)</calculatedColumnFormula>
    </tableColumn>
    <tableColumn id="8" xr3:uid="{BF1179BD-75B9-4DF1-82CB-0336306C3240}" name="順位" dataDxfId="33">
      <calculatedColumnFormula>RANK(G4,$G$4:$G$8)</calculatedColumnFormula>
    </tableColumn>
  </tableColumns>
  <tableStyleInfo name="テーブル スタイル 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48BDFC8-7FA0-4B2E-9D8B-3E7564A9F5BA}" name="テーブル17" displayName="テーブル17" ref="A11:H16" totalsRowShown="0" headerRowDxfId="32" dataDxfId="31" tableBorderDxfId="30">
  <autoFilter ref="A11:H16" xr:uid="{42407147-E29A-4860-856F-CDDE1F25AD35}"/>
  <sortState xmlns:xlrd2="http://schemas.microsoft.com/office/spreadsheetml/2017/richdata2" ref="A12:H16">
    <sortCondition ref="H11:H16"/>
  </sortState>
  <tableColumns count="8">
    <tableColumn id="1" xr3:uid="{7234875A-0A68-4A9F-B540-3294A15D06E5}" name="列1" dataDxfId="29"/>
    <tableColumn id="2" xr3:uid="{D9207BD9-252B-470C-A240-FBAA9C1EF49A}" name="女子" dataDxfId="28"/>
    <tableColumn id="3" xr3:uid="{EF12AD74-2B24-411D-BDF4-DCEB6D564C19}" name="AR得点" dataDxfId="27"/>
    <tableColumn id="4" xr3:uid="{651D01B4-5081-4D7D-AA46-6E29AD225714}" name="AP得点" dataDxfId="26"/>
    <tableColumn id="5" xr3:uid="{889A547D-F7EE-432D-A377-48F8FF32AA5B}" name="BR得点" dataDxfId="25"/>
    <tableColumn id="6" xr3:uid="{EEBF181A-7EA2-4F44-8789-8668BE64BCE9}" name="BP得点" dataDxfId="24"/>
    <tableColumn id="7" xr3:uid="{71262E43-BEF0-4F55-A254-3297B656FFB4}" name="計" dataDxfId="23">
      <calculatedColumnFormula>SUM(C12:F12)</calculatedColumnFormula>
    </tableColumn>
    <tableColumn id="8" xr3:uid="{EBAF719E-0D77-401B-8953-C3200BF02FB2}" name="順位" dataDxfId="22">
      <calculatedColumnFormula>RANK(G12,$G$12:$G$16)</calculatedColumnFormula>
    </tableColumn>
  </tableColumns>
  <tableStyleInfo name="テーブル スタイル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8"/>
  <sheetViews>
    <sheetView view="pageBreakPreview" zoomScaleNormal="100" zoomScaleSheetLayoutView="100" workbookViewId="0">
      <selection activeCell="J16" sqref="J16"/>
    </sheetView>
  </sheetViews>
  <sheetFormatPr defaultColWidth="9" defaultRowHeight="18.75" x14ac:dyDescent="0.15"/>
  <cols>
    <col min="1" max="2" width="9" style="29"/>
    <col min="3" max="3" width="14.375" style="29" bestFit="1" customWidth="1"/>
    <col min="4" max="16384" width="9" style="29"/>
  </cols>
  <sheetData>
    <row r="1" spans="1:9" ht="35.25" x14ac:dyDescent="0.15">
      <c r="A1" s="28"/>
      <c r="B1" s="496" t="s">
        <v>176</v>
      </c>
      <c r="C1" s="496"/>
      <c r="D1" s="496"/>
      <c r="E1" s="496"/>
      <c r="F1" s="496"/>
      <c r="G1" s="496"/>
      <c r="H1" s="496"/>
      <c r="I1" s="496"/>
    </row>
    <row r="2" spans="1:9" ht="35.25" x14ac:dyDescent="0.15">
      <c r="A2" s="28"/>
      <c r="B2" s="497" t="s">
        <v>208</v>
      </c>
      <c r="C2" s="497"/>
      <c r="D2" s="497"/>
      <c r="E2" s="497"/>
      <c r="F2" s="497"/>
      <c r="G2" s="497"/>
      <c r="H2" s="497"/>
      <c r="I2" s="181"/>
    </row>
    <row r="3" spans="1:9" ht="35.25" customHeight="1" x14ac:dyDescent="0.15">
      <c r="A3" s="498"/>
      <c r="B3" s="498"/>
      <c r="C3" s="498"/>
      <c r="D3" s="498"/>
      <c r="E3" s="498"/>
      <c r="F3" s="498"/>
      <c r="G3" s="498"/>
      <c r="H3" s="498"/>
      <c r="I3" s="498"/>
    </row>
    <row r="4" spans="1:9" ht="22.5" x14ac:dyDescent="0.15">
      <c r="A4" s="30"/>
      <c r="B4" s="495"/>
      <c r="C4" s="495"/>
      <c r="D4" s="495"/>
      <c r="E4" s="495"/>
      <c r="F4" s="495"/>
      <c r="G4" s="495"/>
      <c r="H4" s="495"/>
      <c r="I4" s="495"/>
    </row>
    <row r="7" spans="1:9" ht="19.5" x14ac:dyDescent="0.15">
      <c r="B7" s="32" t="s">
        <v>105</v>
      </c>
      <c r="C7" s="32"/>
      <c r="D7" s="32"/>
      <c r="E7" s="32"/>
      <c r="F7" s="32"/>
      <c r="G7" s="32"/>
      <c r="H7" s="32"/>
      <c r="I7" s="32"/>
    </row>
    <row r="8" spans="1:9" ht="19.5" x14ac:dyDescent="0.15">
      <c r="B8" s="32"/>
      <c r="C8" s="32" t="s">
        <v>45</v>
      </c>
      <c r="D8" s="494" t="s">
        <v>209</v>
      </c>
      <c r="E8" s="494"/>
      <c r="F8" s="494"/>
      <c r="G8" s="32"/>
      <c r="H8" s="32"/>
      <c r="I8" s="32"/>
    </row>
    <row r="9" spans="1:9" ht="19.5" x14ac:dyDescent="0.15">
      <c r="B9" s="32"/>
      <c r="C9" s="32" t="s">
        <v>46</v>
      </c>
      <c r="D9" s="32" t="s">
        <v>88</v>
      </c>
      <c r="E9" s="32"/>
      <c r="F9" s="32"/>
      <c r="G9" s="32"/>
      <c r="H9" s="32"/>
      <c r="I9" s="32"/>
    </row>
    <row r="10" spans="1:9" ht="19.5" x14ac:dyDescent="0.15">
      <c r="B10" s="32"/>
      <c r="C10" s="32" t="s">
        <v>47</v>
      </c>
      <c r="D10" s="32" t="s">
        <v>65</v>
      </c>
      <c r="E10" s="32"/>
      <c r="F10" s="32"/>
      <c r="G10" s="32"/>
      <c r="H10" s="32"/>
      <c r="I10" s="32"/>
    </row>
    <row r="11" spans="1:9" ht="19.5" x14ac:dyDescent="0.15">
      <c r="B11" s="32"/>
      <c r="C11" s="32"/>
      <c r="D11" s="32"/>
      <c r="E11" s="32"/>
      <c r="F11" s="32"/>
      <c r="G11" s="32"/>
      <c r="H11" s="32"/>
      <c r="I11" s="32"/>
    </row>
    <row r="12" spans="1:9" ht="19.5" x14ac:dyDescent="0.15">
      <c r="B12" s="32"/>
      <c r="C12" s="32"/>
      <c r="D12" s="32"/>
      <c r="E12" s="32"/>
      <c r="F12" s="32"/>
      <c r="G12" s="32"/>
      <c r="H12" s="32"/>
      <c r="I12" s="32"/>
    </row>
    <row r="13" spans="1:9" ht="19.5" x14ac:dyDescent="0.15">
      <c r="B13" s="32"/>
      <c r="C13" s="32"/>
      <c r="D13" s="32"/>
      <c r="E13" s="32"/>
      <c r="F13" s="32"/>
      <c r="G13" s="32"/>
      <c r="H13" s="32"/>
      <c r="I13" s="32"/>
    </row>
    <row r="14" spans="1:9" ht="19.5" x14ac:dyDescent="0.15">
      <c r="B14" s="32" t="s">
        <v>39</v>
      </c>
      <c r="C14" s="32"/>
      <c r="D14" s="32"/>
      <c r="E14" s="32"/>
      <c r="F14" s="32"/>
      <c r="G14" s="32"/>
      <c r="H14" s="32"/>
      <c r="I14" s="32"/>
    </row>
    <row r="15" spans="1:9" ht="19.5" x14ac:dyDescent="0.15">
      <c r="B15" s="32"/>
      <c r="C15" s="32" t="s">
        <v>45</v>
      </c>
      <c r="D15" s="32" t="s">
        <v>210</v>
      </c>
      <c r="E15" s="32"/>
      <c r="F15" s="32"/>
      <c r="G15" s="32"/>
      <c r="H15" s="32"/>
      <c r="I15" s="32"/>
    </row>
    <row r="16" spans="1:9" ht="19.5" x14ac:dyDescent="0.15">
      <c r="B16" s="32"/>
      <c r="C16" s="32" t="s">
        <v>46</v>
      </c>
      <c r="D16" s="32" t="s">
        <v>102</v>
      </c>
      <c r="E16" s="32"/>
      <c r="F16" s="32"/>
      <c r="G16" s="32"/>
      <c r="H16" s="32"/>
      <c r="I16" s="32"/>
    </row>
    <row r="17" spans="2:9" ht="19.5" x14ac:dyDescent="0.15">
      <c r="B17" s="32"/>
      <c r="C17" s="32"/>
      <c r="D17" s="32"/>
      <c r="E17" s="32"/>
      <c r="F17" s="32"/>
      <c r="G17" s="32"/>
      <c r="H17" s="32"/>
      <c r="I17" s="32"/>
    </row>
    <row r="18" spans="2:9" ht="19.5" x14ac:dyDescent="0.15">
      <c r="B18" s="32"/>
      <c r="C18" s="32"/>
      <c r="D18" s="32"/>
      <c r="E18" s="32"/>
      <c r="F18" s="32"/>
      <c r="G18" s="32"/>
      <c r="H18" s="32"/>
      <c r="I18" s="32"/>
    </row>
  </sheetData>
  <mergeCells count="5">
    <mergeCell ref="D8:F8"/>
    <mergeCell ref="B4:I4"/>
    <mergeCell ref="B1:I1"/>
    <mergeCell ref="B2:H2"/>
    <mergeCell ref="A3:I3"/>
  </mergeCells>
  <phoneticPr fontId="1"/>
  <printOptions horizontalCentered="1"/>
  <pageMargins left="0" right="0" top="0.98425196850393704" bottom="0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I46"/>
  <sheetViews>
    <sheetView view="pageBreakPreview" zoomScale="110" zoomScaleNormal="100" zoomScaleSheetLayoutView="110" workbookViewId="0">
      <selection activeCell="K34" sqref="K34"/>
    </sheetView>
  </sheetViews>
  <sheetFormatPr defaultColWidth="9" defaultRowHeight="18.75" x14ac:dyDescent="0.15"/>
  <cols>
    <col min="1" max="2" width="9" style="29"/>
    <col min="3" max="3" width="12.625" style="29" customWidth="1"/>
    <col min="4" max="4" width="12.25" style="29" customWidth="1"/>
    <col min="5" max="16384" width="9" style="29"/>
  </cols>
  <sheetData>
    <row r="2" spans="2:9" ht="19.5" thickBot="1" x14ac:dyDescent="0.2"/>
    <row r="3" spans="2:9" ht="19.5" thickTop="1" x14ac:dyDescent="0.15">
      <c r="B3" s="33"/>
      <c r="C3" s="34"/>
      <c r="D3" s="34"/>
      <c r="E3" s="34"/>
      <c r="F3" s="34"/>
      <c r="G3" s="34"/>
      <c r="H3" s="35"/>
    </row>
    <row r="4" spans="2:9" ht="30" customHeight="1" x14ac:dyDescent="0.15">
      <c r="B4" s="499" t="str">
        <f>概要!B1</f>
        <v>令和8年度　</v>
      </c>
      <c r="C4" s="496"/>
      <c r="D4" s="496"/>
      <c r="E4" s="496"/>
      <c r="F4" s="496"/>
      <c r="G4" s="496"/>
      <c r="H4" s="500"/>
    </row>
    <row r="5" spans="2:9" ht="30" customHeight="1" x14ac:dyDescent="0.15">
      <c r="B5" s="501" t="str">
        <f>概要!B2</f>
        <v>岐阜県高等学校新人大会ライフル射撃競技</v>
      </c>
      <c r="C5" s="502"/>
      <c r="D5" s="502"/>
      <c r="E5" s="502"/>
      <c r="F5" s="502"/>
      <c r="G5" s="502"/>
      <c r="H5" s="503"/>
    </row>
    <row r="6" spans="2:9" x14ac:dyDescent="0.15">
      <c r="B6" s="504">
        <f>概要!A3</f>
        <v>0</v>
      </c>
      <c r="C6" s="505"/>
      <c r="D6" s="505"/>
      <c r="E6" s="505"/>
      <c r="F6" s="505"/>
      <c r="G6" s="505"/>
      <c r="H6" s="506"/>
    </row>
    <row r="7" spans="2:9" ht="22.5" x14ac:dyDescent="0.15">
      <c r="B7" s="36"/>
      <c r="E7" s="30"/>
      <c r="H7" s="37"/>
    </row>
    <row r="8" spans="2:9" ht="22.5" x14ac:dyDescent="0.15">
      <c r="B8" s="36"/>
      <c r="C8" s="30" t="s">
        <v>101</v>
      </c>
      <c r="E8" s="30"/>
      <c r="H8" s="37"/>
    </row>
    <row r="9" spans="2:9" ht="22.5" x14ac:dyDescent="0.15">
      <c r="B9" s="36"/>
      <c r="D9" s="30" t="s">
        <v>45</v>
      </c>
      <c r="E9" s="30" t="str">
        <f>概要!D8</f>
        <v>令和8年10月17日（土）</v>
      </c>
      <c r="F9" s="30"/>
      <c r="G9" s="30"/>
      <c r="H9" s="30"/>
      <c r="I9" s="36"/>
    </row>
    <row r="10" spans="2:9" ht="22.5" x14ac:dyDescent="0.15">
      <c r="B10" s="36"/>
      <c r="D10" s="30" t="s">
        <v>46</v>
      </c>
      <c r="E10" s="30" t="s">
        <v>74</v>
      </c>
      <c r="F10" s="30"/>
      <c r="G10" s="30"/>
      <c r="H10" s="30"/>
      <c r="I10" s="36"/>
    </row>
    <row r="11" spans="2:9" x14ac:dyDescent="0.15">
      <c r="B11" s="36"/>
      <c r="H11" s="37"/>
    </row>
    <row r="12" spans="2:9" ht="22.5" x14ac:dyDescent="0.15">
      <c r="B12" s="36"/>
      <c r="C12" s="30" t="s">
        <v>75</v>
      </c>
      <c r="H12" s="37"/>
    </row>
    <row r="13" spans="2:9" ht="22.5" x14ac:dyDescent="0.15">
      <c r="B13" s="36"/>
      <c r="D13" s="30" t="s">
        <v>45</v>
      </c>
      <c r="E13" s="30" t="str">
        <f>概要!D15</f>
        <v>令和8年10月18日（日）</v>
      </c>
      <c r="F13" s="30"/>
      <c r="G13" s="30"/>
      <c r="H13" s="30"/>
      <c r="I13" s="36"/>
    </row>
    <row r="14" spans="2:9" ht="22.5" x14ac:dyDescent="0.15">
      <c r="B14" s="36"/>
      <c r="D14" s="30" t="s">
        <v>46</v>
      </c>
      <c r="E14" s="30" t="s">
        <v>103</v>
      </c>
      <c r="F14" s="30"/>
      <c r="G14" s="30"/>
      <c r="H14" s="30"/>
      <c r="I14" s="36"/>
    </row>
    <row r="15" spans="2:9" ht="23.25" thickBot="1" x14ac:dyDescent="0.2">
      <c r="B15" s="38"/>
      <c r="C15" s="39"/>
      <c r="D15" s="40"/>
      <c r="E15" s="39"/>
      <c r="F15" s="39"/>
      <c r="G15" s="39"/>
      <c r="H15" s="41"/>
    </row>
    <row r="16" spans="2:9" ht="19.5" thickTop="1" x14ac:dyDescent="0.15"/>
    <row r="18" spans="2:5" x14ac:dyDescent="0.15">
      <c r="B18" s="29" t="s">
        <v>18</v>
      </c>
      <c r="D18" s="42" t="s">
        <v>188</v>
      </c>
      <c r="E18" s="29" t="s">
        <v>76</v>
      </c>
    </row>
    <row r="19" spans="2:5" x14ac:dyDescent="0.15">
      <c r="D19" s="42"/>
    </row>
    <row r="20" spans="2:5" x14ac:dyDescent="0.15">
      <c r="D20" s="42"/>
    </row>
    <row r="21" spans="2:5" x14ac:dyDescent="0.15">
      <c r="B21" s="29" t="s">
        <v>19</v>
      </c>
      <c r="D21" s="42" t="s">
        <v>148</v>
      </c>
      <c r="E21" s="29" t="s">
        <v>78</v>
      </c>
    </row>
    <row r="22" spans="2:5" x14ac:dyDescent="0.15">
      <c r="D22" s="42" t="s">
        <v>33</v>
      </c>
      <c r="E22" s="29" t="s">
        <v>78</v>
      </c>
    </row>
    <row r="23" spans="2:5" x14ac:dyDescent="0.15">
      <c r="D23" s="42" t="s">
        <v>147</v>
      </c>
      <c r="E23" s="29" t="s">
        <v>78</v>
      </c>
    </row>
    <row r="24" spans="2:5" x14ac:dyDescent="0.15">
      <c r="D24" s="42" t="s">
        <v>104</v>
      </c>
      <c r="E24" s="29" t="s">
        <v>77</v>
      </c>
    </row>
    <row r="25" spans="2:5" x14ac:dyDescent="0.15">
      <c r="D25" s="42" t="s">
        <v>187</v>
      </c>
      <c r="E25" s="29" t="s">
        <v>77</v>
      </c>
    </row>
    <row r="26" spans="2:5" x14ac:dyDescent="0.15">
      <c r="D26" s="42" t="s">
        <v>186</v>
      </c>
      <c r="E26" s="29" t="s">
        <v>20</v>
      </c>
    </row>
    <row r="27" spans="2:5" x14ac:dyDescent="0.15">
      <c r="D27" s="42" t="s">
        <v>80</v>
      </c>
      <c r="E27" s="29" t="s">
        <v>21</v>
      </c>
    </row>
    <row r="28" spans="2:5" x14ac:dyDescent="0.15">
      <c r="D28" s="42" t="s">
        <v>79</v>
      </c>
      <c r="E28" s="29" t="s">
        <v>27</v>
      </c>
    </row>
    <row r="30" spans="2:5" x14ac:dyDescent="0.15">
      <c r="D30" s="390" t="s">
        <v>365</v>
      </c>
      <c r="E30" s="29" t="s">
        <v>22</v>
      </c>
    </row>
    <row r="31" spans="2:5" x14ac:dyDescent="0.15">
      <c r="D31" s="390" t="s">
        <v>366</v>
      </c>
      <c r="E31" s="29" t="s">
        <v>22</v>
      </c>
    </row>
    <row r="32" spans="2:5" x14ac:dyDescent="0.15">
      <c r="D32" s="390" t="s">
        <v>367</v>
      </c>
      <c r="E32" s="29" t="s">
        <v>22</v>
      </c>
    </row>
    <row r="33" spans="2:5" x14ac:dyDescent="0.15">
      <c r="D33" s="390" t="s">
        <v>368</v>
      </c>
      <c r="E33" s="29" t="s">
        <v>22</v>
      </c>
    </row>
    <row r="34" spans="2:5" x14ac:dyDescent="0.15">
      <c r="D34" s="390" t="s">
        <v>369</v>
      </c>
      <c r="E34" s="29" t="s">
        <v>22</v>
      </c>
    </row>
    <row r="35" spans="2:5" x14ac:dyDescent="0.15">
      <c r="D35" s="42"/>
    </row>
    <row r="36" spans="2:5" x14ac:dyDescent="0.15">
      <c r="D36" s="42"/>
    </row>
    <row r="37" spans="2:5" x14ac:dyDescent="0.15">
      <c r="D37" s="42"/>
    </row>
    <row r="38" spans="2:5" x14ac:dyDescent="0.15">
      <c r="D38" s="42"/>
    </row>
    <row r="39" spans="2:5" x14ac:dyDescent="0.15">
      <c r="D39" s="42"/>
    </row>
    <row r="40" spans="2:5" x14ac:dyDescent="0.15">
      <c r="D40" s="42"/>
    </row>
    <row r="41" spans="2:5" x14ac:dyDescent="0.15">
      <c r="D41" s="42"/>
    </row>
    <row r="44" spans="2:5" x14ac:dyDescent="0.15">
      <c r="C44" s="29" t="s">
        <v>23</v>
      </c>
      <c r="D44" s="42" t="s">
        <v>148</v>
      </c>
      <c r="E44" s="29" t="s">
        <v>185</v>
      </c>
    </row>
    <row r="46" spans="2:5" x14ac:dyDescent="0.15">
      <c r="B46" s="29" t="s">
        <v>24</v>
      </c>
      <c r="D46" s="29" t="s">
        <v>25</v>
      </c>
    </row>
  </sheetData>
  <mergeCells count="3">
    <mergeCell ref="B4:H4"/>
    <mergeCell ref="B5:H5"/>
    <mergeCell ref="B6:H6"/>
  </mergeCells>
  <phoneticPr fontId="1"/>
  <printOptions horizontalCentered="1" verticalCentered="1"/>
  <pageMargins left="0" right="0" top="0" bottom="0" header="0" footer="0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K34"/>
  <sheetViews>
    <sheetView view="pageBreakPreview" zoomScale="85" zoomScaleNormal="100" zoomScaleSheetLayoutView="85" workbookViewId="0">
      <selection activeCell="C28" sqref="C28"/>
    </sheetView>
  </sheetViews>
  <sheetFormatPr defaultColWidth="8.125" defaultRowHeight="18.75" x14ac:dyDescent="0.15"/>
  <cols>
    <col min="1" max="1" width="8.125" style="29"/>
    <col min="2" max="2" width="9.125" style="29" customWidth="1"/>
    <col min="3" max="3" width="12.375" style="29" customWidth="1"/>
    <col min="4" max="4" width="8.125" style="29" customWidth="1"/>
    <col min="5" max="16384" width="8.125" style="29"/>
  </cols>
  <sheetData>
    <row r="1" spans="2:11" x14ac:dyDescent="0.15">
      <c r="B1" s="182" t="s">
        <v>211</v>
      </c>
      <c r="D1" s="29" t="s">
        <v>100</v>
      </c>
    </row>
    <row r="3" spans="2:11" x14ac:dyDescent="0.15">
      <c r="B3" s="29" t="s">
        <v>14</v>
      </c>
    </row>
    <row r="5" spans="2:11" x14ac:dyDescent="0.15">
      <c r="B5" s="29" t="s">
        <v>15</v>
      </c>
    </row>
    <row r="7" spans="2:11" x14ac:dyDescent="0.15">
      <c r="C7" s="44"/>
      <c r="D7" s="44" t="s">
        <v>44</v>
      </c>
      <c r="E7" s="45"/>
      <c r="F7" s="45"/>
      <c r="G7" s="46"/>
      <c r="H7" s="44" t="s">
        <v>99</v>
      </c>
      <c r="I7" s="45"/>
      <c r="J7" s="45"/>
      <c r="K7" s="46"/>
    </row>
    <row r="8" spans="2:11" x14ac:dyDescent="0.15">
      <c r="C8" s="44" t="s">
        <v>34</v>
      </c>
      <c r="D8" s="44" t="s">
        <v>370</v>
      </c>
      <c r="E8" s="45" t="s">
        <v>152</v>
      </c>
      <c r="F8" s="45"/>
      <c r="G8" s="46"/>
      <c r="H8" s="44"/>
      <c r="I8" s="45"/>
      <c r="J8" s="45"/>
      <c r="K8" s="46"/>
    </row>
    <row r="9" spans="2:11" x14ac:dyDescent="0.15">
      <c r="C9" s="44" t="s">
        <v>67</v>
      </c>
      <c r="D9" s="44"/>
      <c r="G9" s="46"/>
      <c r="H9" s="44" t="s">
        <v>371</v>
      </c>
      <c r="I9" s="45" t="s">
        <v>205</v>
      </c>
      <c r="J9" s="45"/>
      <c r="K9" s="46"/>
    </row>
    <row r="10" spans="2:11" x14ac:dyDescent="0.15">
      <c r="C10" s="44" t="s">
        <v>83</v>
      </c>
      <c r="D10" s="44"/>
      <c r="E10" s="45"/>
      <c r="F10" s="45"/>
      <c r="G10" s="46"/>
      <c r="H10" s="44"/>
      <c r="I10" s="45"/>
      <c r="J10" s="45"/>
      <c r="K10" s="46"/>
    </row>
    <row r="11" spans="2:11" x14ac:dyDescent="0.15">
      <c r="B11" s="29" t="s">
        <v>85</v>
      </c>
    </row>
    <row r="13" spans="2:11" x14ac:dyDescent="0.15">
      <c r="B13" s="29" t="s">
        <v>212</v>
      </c>
      <c r="D13" s="29" t="s">
        <v>36</v>
      </c>
    </row>
    <row r="15" spans="2:11" x14ac:dyDescent="0.15">
      <c r="B15" s="29" t="s">
        <v>86</v>
      </c>
    </row>
    <row r="17" spans="2:11" x14ac:dyDescent="0.15">
      <c r="B17" s="29" t="s">
        <v>14</v>
      </c>
    </row>
    <row r="19" spans="2:11" x14ac:dyDescent="0.15">
      <c r="B19" s="29" t="s">
        <v>15</v>
      </c>
      <c r="C19" s="29" t="s">
        <v>29</v>
      </c>
    </row>
    <row r="21" spans="2:11" x14ac:dyDescent="0.15">
      <c r="C21" s="44"/>
      <c r="D21" s="44" t="s">
        <v>48</v>
      </c>
      <c r="E21" s="45"/>
      <c r="F21" s="45"/>
      <c r="G21" s="46"/>
      <c r="H21" s="44" t="s">
        <v>49</v>
      </c>
      <c r="I21" s="45"/>
      <c r="J21" s="45"/>
      <c r="K21" s="46"/>
    </row>
    <row r="22" spans="2:11" x14ac:dyDescent="0.15">
      <c r="C22" s="44" t="s">
        <v>34</v>
      </c>
      <c r="D22" s="44" t="s">
        <v>372</v>
      </c>
      <c r="E22" s="45" t="s">
        <v>89</v>
      </c>
      <c r="F22" s="46"/>
      <c r="G22" s="46"/>
      <c r="H22" s="44" t="s">
        <v>98</v>
      </c>
      <c r="I22" s="45" t="s">
        <v>89</v>
      </c>
      <c r="J22" s="45"/>
      <c r="K22" s="46"/>
    </row>
    <row r="23" spans="2:11" x14ac:dyDescent="0.15">
      <c r="C23" s="44" t="s">
        <v>35</v>
      </c>
      <c r="D23" s="44" t="s">
        <v>84</v>
      </c>
      <c r="E23" s="45" t="s">
        <v>90</v>
      </c>
      <c r="F23" s="46"/>
      <c r="G23" s="46"/>
      <c r="H23" s="44" t="s">
        <v>98</v>
      </c>
      <c r="I23" s="45" t="s">
        <v>90</v>
      </c>
      <c r="J23" s="45"/>
      <c r="K23" s="46"/>
    </row>
    <row r="24" spans="2:11" x14ac:dyDescent="0.15">
      <c r="C24" s="44" t="s">
        <v>37</v>
      </c>
      <c r="D24" s="44" t="s">
        <v>84</v>
      </c>
      <c r="E24" s="45" t="s">
        <v>91</v>
      </c>
      <c r="F24" s="46"/>
      <c r="G24" s="46"/>
      <c r="H24" s="44" t="s">
        <v>98</v>
      </c>
      <c r="I24" s="45" t="s">
        <v>91</v>
      </c>
      <c r="J24" s="45"/>
      <c r="K24" s="46"/>
    </row>
    <row r="25" spans="2:11" x14ac:dyDescent="0.15">
      <c r="C25" s="44" t="s">
        <v>38</v>
      </c>
      <c r="D25" s="44" t="s">
        <v>84</v>
      </c>
      <c r="E25" s="45" t="s">
        <v>92</v>
      </c>
      <c r="F25" s="46"/>
      <c r="G25" s="46"/>
      <c r="H25" s="44" t="s">
        <v>98</v>
      </c>
      <c r="I25" s="45" t="s">
        <v>92</v>
      </c>
      <c r="J25" s="45"/>
      <c r="K25" s="46"/>
    </row>
    <row r="26" spans="2:11" x14ac:dyDescent="0.15">
      <c r="C26" s="44" t="s">
        <v>173</v>
      </c>
      <c r="D26" s="44" t="s">
        <v>84</v>
      </c>
      <c r="E26" s="29" t="s">
        <v>161</v>
      </c>
      <c r="F26" s="46"/>
      <c r="G26" s="46"/>
      <c r="H26" s="44" t="s">
        <v>98</v>
      </c>
      <c r="I26" s="29" t="s">
        <v>161</v>
      </c>
      <c r="J26" s="45"/>
      <c r="K26" s="46"/>
    </row>
    <row r="27" spans="2:11" x14ac:dyDescent="0.15">
      <c r="C27" s="44" t="s">
        <v>206</v>
      </c>
      <c r="D27" s="44"/>
      <c r="E27" s="45"/>
      <c r="F27" s="46"/>
      <c r="G27" s="46"/>
      <c r="H27" s="44"/>
      <c r="I27" s="45"/>
      <c r="J27" s="45"/>
      <c r="K27" s="46"/>
    </row>
    <row r="28" spans="2:11" x14ac:dyDescent="0.15">
      <c r="C28" s="29" t="s">
        <v>373</v>
      </c>
    </row>
    <row r="30" spans="2:11" x14ac:dyDescent="0.15">
      <c r="B30" s="29" t="s">
        <v>16</v>
      </c>
      <c r="D30" s="29" t="s">
        <v>87</v>
      </c>
    </row>
    <row r="34" spans="7:7" x14ac:dyDescent="0.15">
      <c r="G34" s="29" t="s">
        <v>17</v>
      </c>
    </row>
  </sheetData>
  <phoneticPr fontId="1"/>
  <printOptions horizontalCentered="1"/>
  <pageMargins left="0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00"/>
  </sheetPr>
  <dimension ref="A2:W29"/>
  <sheetViews>
    <sheetView tabSelected="1" view="pageBreakPreview" zoomScale="70" zoomScaleNormal="100" zoomScaleSheetLayoutView="70" workbookViewId="0">
      <selection activeCell="T10" sqref="T10"/>
    </sheetView>
  </sheetViews>
  <sheetFormatPr defaultColWidth="9" defaultRowHeight="18.75" x14ac:dyDescent="0.15"/>
  <cols>
    <col min="1" max="1" width="5.875" style="29" customWidth="1"/>
    <col min="2" max="2" width="8.125" style="84" bestFit="1" customWidth="1"/>
    <col min="3" max="3" width="11.125" style="84" bestFit="1" customWidth="1"/>
    <col min="4" max="4" width="13.375" style="29" customWidth="1"/>
    <col min="5" max="5" width="13.25" style="29" customWidth="1"/>
    <col min="6" max="6" width="6.5" style="29" customWidth="1"/>
    <col min="7" max="12" width="8.125" style="29" customWidth="1"/>
    <col min="13" max="13" width="8.375" style="29" customWidth="1"/>
    <col min="14" max="14" width="7.375" style="29" customWidth="1"/>
    <col min="15" max="15" width="1.625" style="29" customWidth="1"/>
    <col min="16" max="16" width="9" style="29"/>
    <col min="17" max="17" width="12.625" style="29" bestFit="1" customWidth="1"/>
    <col min="18" max="18" width="12.375" style="29" customWidth="1"/>
    <col min="19" max="21" width="9" style="29"/>
    <col min="22" max="22" width="12.625" style="29" customWidth="1"/>
    <col min="23" max="23" width="9.5" style="29" bestFit="1" customWidth="1"/>
    <col min="24" max="16384" width="9" style="29"/>
  </cols>
  <sheetData>
    <row r="2" spans="1:20" ht="9" customHeight="1" x14ac:dyDescent="0.15">
      <c r="C2" s="491" t="s">
        <v>153</v>
      </c>
      <c r="D2" s="491"/>
      <c r="E2" s="491"/>
      <c r="F2" s="491"/>
      <c r="G2" s="491"/>
      <c r="H2" s="491"/>
      <c r="I2" s="491"/>
      <c r="J2" s="491"/>
      <c r="K2" s="491"/>
      <c r="L2" s="491"/>
    </row>
    <row r="3" spans="1:20" ht="15.75" customHeight="1" x14ac:dyDescent="0.15">
      <c r="C3" s="491"/>
      <c r="D3" s="491"/>
      <c r="E3" s="491"/>
      <c r="F3" s="491"/>
      <c r="G3" s="491"/>
      <c r="H3" s="491"/>
      <c r="I3" s="491"/>
      <c r="J3" s="491"/>
      <c r="K3" s="491"/>
      <c r="L3" s="491"/>
    </row>
    <row r="4" spans="1:20" ht="9" customHeight="1" x14ac:dyDescent="0.15">
      <c r="C4" s="491"/>
      <c r="D4" s="491"/>
      <c r="E4" s="491"/>
      <c r="F4" s="491"/>
      <c r="G4" s="491"/>
      <c r="H4" s="491"/>
      <c r="I4" s="491"/>
      <c r="J4" s="491"/>
      <c r="K4" s="491"/>
      <c r="L4" s="491"/>
    </row>
    <row r="5" spans="1:20" ht="8.25" customHeight="1" x14ac:dyDescent="0.15">
      <c r="B5" s="85"/>
      <c r="C5" s="85"/>
      <c r="D5" s="31"/>
      <c r="E5" s="31"/>
      <c r="F5" s="31"/>
      <c r="G5" s="31"/>
      <c r="H5" s="31"/>
      <c r="I5" s="31"/>
      <c r="J5" s="31"/>
      <c r="K5" s="31"/>
      <c r="L5" s="31"/>
      <c r="M5" s="31"/>
      <c r="N5" s="65"/>
      <c r="O5" s="65"/>
    </row>
    <row r="6" spans="1:20" x14ac:dyDescent="0.15">
      <c r="C6" s="93">
        <v>46312</v>
      </c>
      <c r="D6" s="67">
        <f>WEEKDAY(C6)</f>
        <v>7</v>
      </c>
      <c r="E6" s="29" t="s">
        <v>74</v>
      </c>
      <c r="J6" s="65"/>
      <c r="K6" s="65"/>
      <c r="L6" s="65"/>
      <c r="M6" s="65"/>
      <c r="N6" s="65"/>
      <c r="O6" s="65"/>
    </row>
    <row r="7" spans="1:20" x14ac:dyDescent="0.15">
      <c r="J7" s="65"/>
      <c r="K7" s="65"/>
      <c r="L7" s="65"/>
      <c r="M7" s="65"/>
      <c r="N7" s="65"/>
      <c r="O7" s="65"/>
    </row>
    <row r="8" spans="1:20" x14ac:dyDescent="0.15">
      <c r="D8" s="29" t="s">
        <v>66</v>
      </c>
      <c r="E8" s="493" t="s">
        <v>152</v>
      </c>
      <c r="F8" s="493"/>
      <c r="G8" s="86"/>
      <c r="J8" s="86"/>
      <c r="K8" s="65"/>
      <c r="L8" s="87"/>
    </row>
    <row r="9" spans="1:20" x14ac:dyDescent="0.15">
      <c r="D9" s="29" t="s">
        <v>151</v>
      </c>
      <c r="E9" s="493" t="s">
        <v>184</v>
      </c>
      <c r="F9" s="493"/>
      <c r="G9" s="86"/>
    </row>
    <row r="10" spans="1:20" x14ac:dyDescent="0.15">
      <c r="E10" s="86"/>
      <c r="F10" s="86"/>
      <c r="G10" s="86"/>
    </row>
    <row r="12" spans="1:20" ht="19.5" thickBot="1" x14ac:dyDescent="0.2">
      <c r="C12" s="29" t="s">
        <v>10</v>
      </c>
      <c r="K12" s="65"/>
      <c r="L12" s="65"/>
      <c r="M12" s="65"/>
      <c r="N12" s="65"/>
      <c r="O12" s="65"/>
      <c r="P12" s="29" t="s">
        <v>120</v>
      </c>
    </row>
    <row r="13" spans="1:20" ht="21" customHeight="1" thickBot="1" x14ac:dyDescent="0.2">
      <c r="A13" s="74" t="s">
        <v>118</v>
      </c>
      <c r="B13" s="88" t="s">
        <v>113</v>
      </c>
      <c r="C13" s="70" t="s">
        <v>115</v>
      </c>
      <c r="D13" s="71" t="s">
        <v>1</v>
      </c>
      <c r="E13" s="72" t="s">
        <v>2</v>
      </c>
      <c r="F13" s="72" t="s">
        <v>116</v>
      </c>
      <c r="G13" s="156" t="s">
        <v>107</v>
      </c>
      <c r="H13" s="157" t="s">
        <v>108</v>
      </c>
      <c r="I13" s="157" t="s">
        <v>109</v>
      </c>
      <c r="J13" s="157" t="s">
        <v>110</v>
      </c>
      <c r="K13" s="157" t="s">
        <v>111</v>
      </c>
      <c r="L13" s="158" t="s">
        <v>112</v>
      </c>
      <c r="M13" s="159" t="s">
        <v>3</v>
      </c>
      <c r="N13" s="160" t="s">
        <v>4</v>
      </c>
      <c r="P13" s="47" t="s">
        <v>122</v>
      </c>
      <c r="Q13" s="47" t="s">
        <v>115</v>
      </c>
      <c r="R13" s="47" t="s">
        <v>121</v>
      </c>
      <c r="S13" s="47" t="s">
        <v>116</v>
      </c>
    </row>
    <row r="14" spans="1:20" ht="21" customHeight="1" x14ac:dyDescent="0.15">
      <c r="A14" s="155">
        <v>1</v>
      </c>
      <c r="B14" s="402" t="s">
        <v>293</v>
      </c>
      <c r="C14" s="403">
        <f>IF(D14="","",INDEX($Q$14:$Q$17,MATCH(テーブル2[[#This Row],[氏　　名]],$R$14:$R$17,0)))</f>
        <v>47034307</v>
      </c>
      <c r="D14" s="404" t="s">
        <v>250</v>
      </c>
      <c r="E14" s="405" t="str">
        <f>IF(テーブル2[[#This Row],[氏　　名]]="","",INDEX($P$14:$P$17,MATCH(テーブル2[[#This Row],[氏　　名]],$R$14:$R$17,0)))</f>
        <v>済美</v>
      </c>
      <c r="F14" s="406">
        <f>IF(テーブル2[[#This Row],[氏　　名]]="","",INDEX($S$14:$S$17,MATCH(テーブル2[[#This Row],[氏　　名]],$R$14:$R$17,0)))</f>
        <v>2</v>
      </c>
      <c r="G14" s="407">
        <v>101.7</v>
      </c>
      <c r="H14" s="408">
        <v>99.2</v>
      </c>
      <c r="I14" s="408">
        <v>101.1</v>
      </c>
      <c r="J14" s="408">
        <v>103.4</v>
      </c>
      <c r="K14" s="408">
        <v>104.1</v>
      </c>
      <c r="L14" s="409">
        <v>102.8</v>
      </c>
      <c r="M14" s="410">
        <f>IF(G14="","",SUM(G14:L14))</f>
        <v>612.29999999999995</v>
      </c>
      <c r="N14" s="411">
        <f>IF(M14="","",RANK(M14,$M$14:$M$17))</f>
        <v>1</v>
      </c>
      <c r="P14" s="183" t="s">
        <v>199</v>
      </c>
      <c r="Q14" s="47">
        <v>44028964</v>
      </c>
      <c r="R14" s="47" t="s">
        <v>247</v>
      </c>
      <c r="S14" s="47">
        <v>2</v>
      </c>
      <c r="T14" s="29" t="str">
        <f>P14&amp;1</f>
        <v>済美A1</v>
      </c>
    </row>
    <row r="15" spans="1:20" ht="21" customHeight="1" x14ac:dyDescent="0.15">
      <c r="A15" s="104">
        <v>4</v>
      </c>
      <c r="B15" s="402" t="s">
        <v>294</v>
      </c>
      <c r="C15" s="412">
        <f>IF(D15="","",INDEX($Q$14:$Q$17,MATCH(テーブル2[[#This Row],[氏　　名]],$R$14:$R$17,0)))</f>
        <v>45030629</v>
      </c>
      <c r="D15" s="404" t="s">
        <v>249</v>
      </c>
      <c r="E15" s="413" t="str">
        <f>IF(テーブル2[[#This Row],[氏　　名]]="","",INDEX($P$14:$P$17,MATCH(テーブル2[[#This Row],[氏　　名]],$R$14:$R$17,0)))</f>
        <v>済美A</v>
      </c>
      <c r="F15" s="414">
        <f>IF(テーブル2[[#This Row],[氏　　名]]="","",INDEX($S$14:$S$17,MATCH(テーブル2[[#This Row],[氏　　名]],$R$14:$R$17,0)))</f>
        <v>2</v>
      </c>
      <c r="G15" s="415">
        <v>101.9</v>
      </c>
      <c r="H15" s="416">
        <v>99.2</v>
      </c>
      <c r="I15" s="416">
        <v>99.4</v>
      </c>
      <c r="J15" s="416">
        <v>102.3</v>
      </c>
      <c r="K15" s="416">
        <v>100.5</v>
      </c>
      <c r="L15" s="417">
        <v>98.5</v>
      </c>
      <c r="M15" s="418">
        <f>IF(G15="","",SUM(G15:L15))</f>
        <v>601.79999999999995</v>
      </c>
      <c r="N15" s="419">
        <f>IF(M15="","",RANK(M15,$M$14:$M$17))</f>
        <v>2</v>
      </c>
      <c r="P15" s="183" t="s">
        <v>199</v>
      </c>
      <c r="Q15" s="47">
        <v>43028791</v>
      </c>
      <c r="R15" s="47" t="s">
        <v>248</v>
      </c>
      <c r="S15" s="47">
        <v>2</v>
      </c>
      <c r="T15" s="29" t="str">
        <f>P15&amp;2</f>
        <v>済美A2</v>
      </c>
    </row>
    <row r="16" spans="1:20" ht="21" customHeight="1" x14ac:dyDescent="0.15">
      <c r="A16" s="104">
        <v>3</v>
      </c>
      <c r="B16" s="402" t="s">
        <v>134</v>
      </c>
      <c r="C16" s="403">
        <f>IF(D16="","",INDEX($Q$14:$Q$17,MATCH(テーブル2[[#This Row],[氏　　名]],$R$14:$R$17,0)))</f>
        <v>44028964</v>
      </c>
      <c r="D16" s="404" t="s">
        <v>247</v>
      </c>
      <c r="E16" s="420" t="str">
        <f>IF(テーブル2[[#This Row],[氏　　名]]="","",INDEX($P$14:$P$17,MATCH(テーブル2[[#This Row],[氏　　名]],$R$14:$R$17,0)))</f>
        <v>済美A</v>
      </c>
      <c r="F16" s="420">
        <f>IF(テーブル2[[#This Row],[氏　　名]]="","",INDEX($S$14:$S$17,MATCH(テーブル2[[#This Row],[氏　　名]],$R$14:$R$17,0)))</f>
        <v>2</v>
      </c>
      <c r="G16" s="421">
        <v>99.9</v>
      </c>
      <c r="H16" s="422">
        <v>99.4</v>
      </c>
      <c r="I16" s="422">
        <v>97.9</v>
      </c>
      <c r="J16" s="422">
        <v>101.5</v>
      </c>
      <c r="K16" s="422">
        <v>102</v>
      </c>
      <c r="L16" s="423">
        <v>100.9</v>
      </c>
      <c r="M16" s="418">
        <f>IF(G16="","",SUM(G16:L16))</f>
        <v>601.6</v>
      </c>
      <c r="N16" s="424">
        <f>IF(M16="","",RANK(M16,$M$14:$M$17))</f>
        <v>3</v>
      </c>
      <c r="P16" s="183" t="s">
        <v>199</v>
      </c>
      <c r="Q16" s="47">
        <v>45030629</v>
      </c>
      <c r="R16" s="47" t="s">
        <v>249</v>
      </c>
      <c r="S16" s="47">
        <v>2</v>
      </c>
      <c r="T16" s="29" t="str">
        <f>P16&amp;3</f>
        <v>済美A3</v>
      </c>
    </row>
    <row r="17" spans="1:23" ht="21" customHeight="1" x14ac:dyDescent="0.15">
      <c r="A17" s="104">
        <v>2</v>
      </c>
      <c r="B17" s="402" t="s">
        <v>133</v>
      </c>
      <c r="C17" s="403">
        <f>IF(D17="","",INDEX($Q$14:$Q$17,MATCH(テーブル2[[#This Row],[氏　　名]],$R$14:$R$17,0)))</f>
        <v>43028791</v>
      </c>
      <c r="D17" s="404" t="s">
        <v>248</v>
      </c>
      <c r="E17" s="420" t="str">
        <f>IF(テーブル2[[#This Row],[氏　　名]]="","",INDEX($P$14:$P$17,MATCH(テーブル2[[#This Row],[氏　　名]],$R$14:$R$17,0)))</f>
        <v>済美A</v>
      </c>
      <c r="F17" s="420">
        <f>IF(テーブル2[[#This Row],[氏　　名]]="","",INDEX($S$14:$S$17,MATCH(テーブル2[[#This Row],[氏　　名]],$R$14:$R$17,0)))</f>
        <v>2</v>
      </c>
      <c r="G17" s="421">
        <v>102.3</v>
      </c>
      <c r="H17" s="422">
        <v>97.5</v>
      </c>
      <c r="I17" s="422">
        <v>101.1</v>
      </c>
      <c r="J17" s="422">
        <v>97.1</v>
      </c>
      <c r="K17" s="422">
        <v>96.6</v>
      </c>
      <c r="L17" s="423">
        <v>98.3</v>
      </c>
      <c r="M17" s="418">
        <f>IF(G17="","",SUM(G17:L17))</f>
        <v>592.9</v>
      </c>
      <c r="N17" s="424">
        <f>IF(M17="","",RANK(M17,$M$14:$M$17))</f>
        <v>4</v>
      </c>
      <c r="P17" s="183" t="s">
        <v>251</v>
      </c>
      <c r="Q17" s="47">
        <v>47034307</v>
      </c>
      <c r="R17" s="47" t="s">
        <v>250</v>
      </c>
      <c r="S17" s="47">
        <v>2</v>
      </c>
      <c r="T17" s="29" t="str">
        <f t="shared" ref="T17" si="0">P17&amp;1</f>
        <v>済美1</v>
      </c>
    </row>
    <row r="18" spans="1:23" ht="21" customHeight="1" x14ac:dyDescent="0.15">
      <c r="A18" s="42"/>
      <c r="C18" s="65"/>
      <c r="D18" s="65"/>
      <c r="E18" s="42"/>
      <c r="F18" s="42"/>
      <c r="G18" s="184"/>
      <c r="H18" s="184"/>
      <c r="I18" s="184"/>
      <c r="J18" s="184"/>
      <c r="K18" s="184"/>
      <c r="L18" s="184"/>
      <c r="M18" s="185"/>
      <c r="N18" s="185"/>
      <c r="V18" s="186"/>
    </row>
    <row r="19" spans="1:23" ht="21" customHeight="1" thickBot="1" x14ac:dyDescent="0.2">
      <c r="A19" s="42"/>
      <c r="C19" s="65" t="s">
        <v>9</v>
      </c>
      <c r="D19" s="65"/>
      <c r="E19" s="42"/>
      <c r="F19" s="42"/>
      <c r="G19" s="42"/>
      <c r="H19" s="42"/>
      <c r="I19" s="42"/>
      <c r="J19" s="42"/>
      <c r="K19" s="42"/>
      <c r="L19" s="42"/>
      <c r="M19" s="42"/>
      <c r="N19" s="42"/>
      <c r="P19" s="29" t="s">
        <v>120</v>
      </c>
    </row>
    <row r="20" spans="1:23" ht="21" customHeight="1" thickBot="1" x14ac:dyDescent="0.2">
      <c r="A20" s="29" t="s">
        <v>118</v>
      </c>
      <c r="B20" s="88" t="s">
        <v>113</v>
      </c>
      <c r="C20" s="70" t="s">
        <v>115</v>
      </c>
      <c r="D20" s="71" t="s">
        <v>1</v>
      </c>
      <c r="E20" s="72" t="s">
        <v>2</v>
      </c>
      <c r="F20" s="73" t="s">
        <v>116</v>
      </c>
      <c r="G20" s="156" t="s">
        <v>107</v>
      </c>
      <c r="H20" s="157" t="s">
        <v>108</v>
      </c>
      <c r="I20" s="157" t="s">
        <v>109</v>
      </c>
      <c r="J20" s="157" t="s">
        <v>110</v>
      </c>
      <c r="K20" s="157" t="s">
        <v>111</v>
      </c>
      <c r="L20" s="158" t="s">
        <v>112</v>
      </c>
      <c r="M20" s="188" t="s">
        <v>3</v>
      </c>
      <c r="N20" s="188" t="s">
        <v>4</v>
      </c>
      <c r="P20" s="47" t="s">
        <v>122</v>
      </c>
      <c r="Q20" s="47" t="s">
        <v>115</v>
      </c>
      <c r="R20" s="47" t="s">
        <v>121</v>
      </c>
      <c r="S20" s="47" t="s">
        <v>116</v>
      </c>
      <c r="U20" s="47" t="s">
        <v>113</v>
      </c>
      <c r="V20" s="47" t="s">
        <v>125</v>
      </c>
    </row>
    <row r="21" spans="1:23" ht="21" customHeight="1" x14ac:dyDescent="0.15">
      <c r="A21" s="45">
        <v>1</v>
      </c>
      <c r="B21" s="402" t="s">
        <v>138</v>
      </c>
      <c r="C21" s="425">
        <f>IF(テーブル1[[#This Row],[氏　　名]]="","",INDEX($Q$21:$Q$22,MATCH(テーブル1[[#This Row],[氏　　名]],$R$21:$R$22,0)))</f>
        <v>43028641</v>
      </c>
      <c r="D21" s="404" t="s">
        <v>229</v>
      </c>
      <c r="E21" s="405" t="str">
        <f>IF(テーブル1[[#This Row],[氏　　名]]="","",INDEX($P$21:$P$22,MATCH(テーブル1[[#This Row],[氏　　名]],$R$21:$R$22,0)))</f>
        <v>関有知</v>
      </c>
      <c r="F21" s="406">
        <f>IF(テーブル1[[#This Row],[氏　　名]]="","",INDEX($S$21:$S$22,MATCH(テーブル1[[#This Row],[氏　　名]],$R$21:$R$22,0)))</f>
        <v>2</v>
      </c>
      <c r="G21" s="426">
        <v>103.7</v>
      </c>
      <c r="H21" s="427">
        <v>103.4</v>
      </c>
      <c r="I21" s="427">
        <v>101.9</v>
      </c>
      <c r="J21" s="427">
        <v>104.6</v>
      </c>
      <c r="K21" s="428">
        <v>104.8</v>
      </c>
      <c r="L21" s="429">
        <v>104.8</v>
      </c>
      <c r="M21" s="430">
        <f>IF(G21="","",SUM(G21:L21))</f>
        <v>623.19999999999993</v>
      </c>
      <c r="N21" s="431">
        <f>IF(M21="","",RANK(M21,$M$21:$M$22))</f>
        <v>1</v>
      </c>
      <c r="P21" s="183" t="s">
        <v>230</v>
      </c>
      <c r="Q21" s="47">
        <v>43028641</v>
      </c>
      <c r="R21" s="47" t="s">
        <v>229</v>
      </c>
      <c r="S21" s="47">
        <v>2</v>
      </c>
      <c r="T21" s="29" t="str">
        <f>P21&amp;1</f>
        <v>関有知1</v>
      </c>
      <c r="U21" s="47">
        <v>3</v>
      </c>
      <c r="V21" s="47" t="str">
        <f>INDEX($R$21:$R$22,_xlfn.RANK.EQ(W21,$W$21:$W$22))</f>
        <v>田中　玲衣</v>
      </c>
      <c r="W21" s="29">
        <v>0.68999436154601701</v>
      </c>
    </row>
    <row r="22" spans="1:23" ht="21" customHeight="1" x14ac:dyDescent="0.15">
      <c r="A22" s="45">
        <v>2</v>
      </c>
      <c r="B22" s="402" t="s">
        <v>181</v>
      </c>
      <c r="C22" s="425">
        <f>IF(テーブル1[[#This Row],[氏　　名]]="","",INDEX($Q$21:$Q$22,MATCH(テーブル1[[#This Row],[氏　　名]],$R$21:$R$22,0)))</f>
        <v>46033453</v>
      </c>
      <c r="D22" s="404" t="s">
        <v>252</v>
      </c>
      <c r="E22" s="420" t="str">
        <f>IF(テーブル1[[#This Row],[氏　　名]]="","",INDEX($P$21:$P$22,MATCH(テーブル1[[#This Row],[氏　　名]],$R$21:$R$22,0)))</f>
        <v>済美</v>
      </c>
      <c r="F22" s="432">
        <f>IF(テーブル1[[#This Row],[氏　　名]]="","",INDEX($S$21:$S$22,MATCH(テーブル1[[#This Row],[氏　　名]],$R$21:$R$22,0)))</f>
        <v>1</v>
      </c>
      <c r="G22" s="433">
        <v>91.6</v>
      </c>
      <c r="H22" s="434">
        <v>95.3</v>
      </c>
      <c r="I22" s="434">
        <v>87.5</v>
      </c>
      <c r="J22" s="434">
        <v>98.9</v>
      </c>
      <c r="K22" s="435">
        <v>99.4</v>
      </c>
      <c r="L22" s="436">
        <v>97.5</v>
      </c>
      <c r="M22" s="430">
        <f t="shared" ref="M22" si="1">IF(G22="","",SUM(G22:L22))</f>
        <v>570.19999999999993</v>
      </c>
      <c r="N22" s="431">
        <f>IF(M22="","",RANK(M22,$M$21:$M$22))</f>
        <v>2</v>
      </c>
      <c r="P22" s="183" t="s">
        <v>251</v>
      </c>
      <c r="Q22" s="47">
        <v>46033453</v>
      </c>
      <c r="R22" s="47" t="s">
        <v>252</v>
      </c>
      <c r="S22" s="47">
        <v>1</v>
      </c>
      <c r="T22" s="29" t="str">
        <f>P22&amp;1</f>
        <v>済美1</v>
      </c>
      <c r="U22" s="47">
        <v>4</v>
      </c>
      <c r="V22" s="47" t="str">
        <f>INDEX($R$21:$R$22,_xlfn.RANK.EQ(W22,$W$21:$W$22))</f>
        <v>浅野　海空</v>
      </c>
      <c r="W22" s="29">
        <v>0.96002090226079706</v>
      </c>
    </row>
    <row r="23" spans="1:23" ht="21" customHeight="1" x14ac:dyDescent="0.15"/>
    <row r="24" spans="1:23" ht="21" customHeight="1" x14ac:dyDescent="0.15">
      <c r="P24" s="29" t="s">
        <v>281</v>
      </c>
      <c r="Q24" s="29">
        <v>47034936</v>
      </c>
      <c r="R24" s="29" t="s">
        <v>279</v>
      </c>
      <c r="S24" s="29" t="s">
        <v>280</v>
      </c>
    </row>
    <row r="25" spans="1:23" ht="21" customHeight="1" x14ac:dyDescent="0.15">
      <c r="B25" s="492"/>
      <c r="C25" s="492"/>
      <c r="D25" s="492"/>
    </row>
    <row r="26" spans="1:23" ht="21" customHeight="1" x14ac:dyDescent="0.15"/>
    <row r="27" spans="1:23" ht="21" customHeight="1" x14ac:dyDescent="0.15"/>
    <row r="28" spans="1:23" ht="21" customHeight="1" x14ac:dyDescent="0.15"/>
    <row r="29" spans="1:23" ht="21" customHeight="1" x14ac:dyDescent="0.15"/>
  </sheetData>
  <sortState xmlns:xlrd2="http://schemas.microsoft.com/office/spreadsheetml/2017/richdata2" ref="B23:M24">
    <sortCondition ref="B23:B24"/>
  </sortState>
  <mergeCells count="4">
    <mergeCell ref="C2:L4"/>
    <mergeCell ref="B25:D25"/>
    <mergeCell ref="E8:F8"/>
    <mergeCell ref="E9:F9"/>
  </mergeCells>
  <phoneticPr fontId="1"/>
  <conditionalFormatting sqref="G14:L22">
    <cfRule type="cellIs" dxfId="21" priority="2" stopIfTrue="1" operator="equal">
      <formula>101.9</formula>
    </cfRule>
  </conditionalFormatting>
  <conditionalFormatting sqref="M14:M18">
    <cfRule type="cellIs" dxfId="20" priority="1" stopIfTrue="1" operator="greaterThan">
      <formula>609.9</formula>
    </cfRule>
  </conditionalFormatting>
  <conditionalFormatting sqref="M21:M22">
    <cfRule type="cellIs" dxfId="19" priority="3" stopIfTrue="1" operator="greaterThan">
      <formula>409.9</formula>
    </cfRule>
  </conditionalFormatting>
  <printOptions horizontalCentered="1"/>
  <pageMargins left="0" right="0" top="0.98425196850393704" bottom="0" header="0" footer="0"/>
  <pageSetup paperSize="9" scale="77" orientation="portrait" r:id="rId1"/>
  <headerFooter alignWithMargins="0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FC6D-4141-4684-B78F-A49B09B4E515}">
  <sheetPr>
    <tabColor rgb="FFFFFF00"/>
    <pageSetUpPr fitToPage="1"/>
  </sheetPr>
  <dimension ref="A1:Q24"/>
  <sheetViews>
    <sheetView view="pageBreakPreview" zoomScale="70" zoomScaleNormal="100" zoomScaleSheetLayoutView="70" workbookViewId="0">
      <selection activeCell="G10" sqref="G10"/>
    </sheetView>
  </sheetViews>
  <sheetFormatPr defaultColWidth="9" defaultRowHeight="18.75" x14ac:dyDescent="0.15"/>
  <cols>
    <col min="1" max="1" width="5.5" style="29" bestFit="1" customWidth="1"/>
    <col min="2" max="2" width="8.125" style="84" bestFit="1" customWidth="1"/>
    <col min="3" max="3" width="11.875" style="84" bestFit="1" customWidth="1"/>
    <col min="4" max="4" width="13.375" style="29" customWidth="1"/>
    <col min="5" max="5" width="11.125" style="29" customWidth="1"/>
    <col min="6" max="6" width="6.5" style="29" customWidth="1"/>
    <col min="7" max="12" width="8.125" style="29" customWidth="1"/>
    <col min="13" max="13" width="8.375" style="29" customWidth="1"/>
    <col min="14" max="14" width="6.625" style="29" bestFit="1" customWidth="1"/>
    <col min="15" max="15" width="8.625" style="29" customWidth="1"/>
    <col min="16" max="16" width="12.375" style="29" bestFit="1" customWidth="1"/>
    <col min="17" max="17" width="5.625" style="29" customWidth="1"/>
    <col min="18" max="16384" width="9" style="29"/>
  </cols>
  <sheetData>
    <row r="1" spans="1:17" ht="19.5" customHeight="1" x14ac:dyDescent="0.15">
      <c r="D1" s="491" t="s">
        <v>154</v>
      </c>
      <c r="E1" s="491"/>
      <c r="F1" s="491"/>
      <c r="G1" s="491"/>
      <c r="H1" s="491"/>
      <c r="I1" s="491"/>
      <c r="J1" s="491"/>
      <c r="K1" s="491"/>
      <c r="L1" s="491"/>
    </row>
    <row r="2" spans="1:17" ht="9" customHeight="1" x14ac:dyDescent="0.15">
      <c r="D2" s="491"/>
      <c r="E2" s="491"/>
      <c r="F2" s="491"/>
      <c r="G2" s="491"/>
      <c r="H2" s="491"/>
      <c r="I2" s="491"/>
      <c r="J2" s="491"/>
      <c r="K2" s="491"/>
      <c r="L2" s="491"/>
    </row>
    <row r="3" spans="1:17" ht="9" customHeight="1" x14ac:dyDescent="0.15">
      <c r="D3" s="491"/>
      <c r="E3" s="491"/>
      <c r="F3" s="491"/>
      <c r="G3" s="491"/>
      <c r="H3" s="491"/>
      <c r="I3" s="491"/>
      <c r="J3" s="491"/>
      <c r="K3" s="491"/>
      <c r="L3" s="491"/>
    </row>
    <row r="4" spans="1:17" ht="8.25" customHeight="1" x14ac:dyDescent="0.15">
      <c r="B4" s="85"/>
      <c r="C4" s="85"/>
      <c r="D4" s="31"/>
      <c r="E4" s="31"/>
      <c r="F4" s="31"/>
      <c r="G4" s="31"/>
      <c r="H4" s="31"/>
      <c r="I4" s="31"/>
      <c r="J4" s="31"/>
      <c r="K4" s="31"/>
      <c r="L4" s="31"/>
      <c r="M4" s="31"/>
      <c r="N4" s="65"/>
      <c r="O4" s="65"/>
      <c r="Q4" s="65"/>
    </row>
    <row r="5" spans="1:17" x14ac:dyDescent="0.15">
      <c r="C5" s="66">
        <v>46312</v>
      </c>
      <c r="D5" s="67">
        <f>WEEKDAY(C5)</f>
        <v>7</v>
      </c>
      <c r="E5" s="29" t="s">
        <v>74</v>
      </c>
      <c r="J5" s="65"/>
      <c r="K5" s="65"/>
      <c r="L5" s="65"/>
      <c r="M5" s="65"/>
      <c r="N5" s="65"/>
      <c r="O5" s="65"/>
      <c r="Q5" s="65"/>
    </row>
    <row r="6" spans="1:17" x14ac:dyDescent="0.15">
      <c r="J6" s="65"/>
      <c r="K6" s="65"/>
      <c r="L6" s="65"/>
      <c r="M6" s="65"/>
      <c r="N6" s="65"/>
      <c r="O6" s="65"/>
      <c r="Q6" s="65"/>
    </row>
    <row r="7" spans="1:17" x14ac:dyDescent="0.15">
      <c r="D7" s="29" t="s">
        <v>66</v>
      </c>
      <c r="E7" s="493" t="s">
        <v>152</v>
      </c>
      <c r="F7" s="493"/>
      <c r="G7" s="86"/>
      <c r="J7" s="86"/>
      <c r="K7" s="65"/>
      <c r="L7" s="87"/>
    </row>
    <row r="8" spans="1:17" x14ac:dyDescent="0.15">
      <c r="D8" s="29" t="s">
        <v>151</v>
      </c>
      <c r="E8" s="493" t="s">
        <v>184</v>
      </c>
      <c r="F8" s="493"/>
      <c r="G8" s="86"/>
    </row>
    <row r="9" spans="1:17" x14ac:dyDescent="0.15">
      <c r="E9" s="86"/>
      <c r="F9" s="86"/>
      <c r="G9" s="86"/>
    </row>
    <row r="11" spans="1:17" x14ac:dyDescent="0.15">
      <c r="C11" s="29" t="s">
        <v>10</v>
      </c>
      <c r="K11" s="65"/>
      <c r="L11" s="65"/>
      <c r="M11" s="65"/>
      <c r="N11" s="65"/>
      <c r="O11" s="65"/>
      <c r="Q11" s="65"/>
    </row>
    <row r="12" spans="1:17" ht="21" customHeight="1" thickBot="1" x14ac:dyDescent="0.2">
      <c r="A12" s="74" t="s">
        <v>118</v>
      </c>
      <c r="B12" s="91" t="s">
        <v>113</v>
      </c>
      <c r="C12" s="91" t="s">
        <v>115</v>
      </c>
      <c r="D12" s="92" t="s">
        <v>1</v>
      </c>
      <c r="E12" s="82" t="s">
        <v>2</v>
      </c>
      <c r="F12" s="172" t="s">
        <v>116</v>
      </c>
      <c r="G12" s="81" t="s">
        <v>107</v>
      </c>
      <c r="H12" s="92" t="s">
        <v>108</v>
      </c>
      <c r="I12" s="92" t="s">
        <v>109</v>
      </c>
      <c r="J12" s="92" t="s">
        <v>110</v>
      </c>
      <c r="K12" s="92" t="s">
        <v>111</v>
      </c>
      <c r="L12" s="172" t="s">
        <v>112</v>
      </c>
      <c r="M12" s="81" t="s">
        <v>3</v>
      </c>
      <c r="N12" s="82" t="s">
        <v>117</v>
      </c>
      <c r="O12" s="82" t="s">
        <v>4</v>
      </c>
    </row>
    <row r="13" spans="1:17" ht="21" customHeight="1" x14ac:dyDescent="0.15">
      <c r="A13" s="306">
        <v>1</v>
      </c>
      <c r="B13" s="90" t="s">
        <v>139</v>
      </c>
      <c r="C13" s="102">
        <v>45031949</v>
      </c>
      <c r="D13" s="83" t="s">
        <v>177</v>
      </c>
      <c r="E13" s="83" t="s">
        <v>123</v>
      </c>
      <c r="F13" s="103">
        <v>2</v>
      </c>
      <c r="G13" s="165" t="s">
        <v>374</v>
      </c>
      <c r="H13" s="166"/>
      <c r="I13" s="166"/>
      <c r="J13" s="166"/>
      <c r="K13" s="166"/>
      <c r="L13" s="167"/>
      <c r="M13" s="168">
        <f t="shared" ref="M13:M14" si="0">IF(G13="","",SUM(G13:L13))</f>
        <v>0</v>
      </c>
      <c r="N13" s="140"/>
      <c r="O13" s="78">
        <f>IF(M13="","",RANK(M13,$M$13:$M$14,0))</f>
        <v>1</v>
      </c>
      <c r="P13" s="89"/>
      <c r="Q13" s="89"/>
    </row>
    <row r="14" spans="1:17" ht="21" customHeight="1" thickBot="1" x14ac:dyDescent="0.2">
      <c r="A14" s="29">
        <v>2</v>
      </c>
      <c r="B14" s="90" t="s">
        <v>140</v>
      </c>
      <c r="C14" s="102">
        <v>45030629</v>
      </c>
      <c r="D14" s="83" t="s">
        <v>149</v>
      </c>
      <c r="E14" s="83" t="s">
        <v>123</v>
      </c>
      <c r="F14" s="103">
        <v>2</v>
      </c>
      <c r="G14" s="169" t="s">
        <v>374</v>
      </c>
      <c r="H14" s="170"/>
      <c r="I14" s="170"/>
      <c r="J14" s="170"/>
      <c r="K14" s="170"/>
      <c r="L14" s="171"/>
      <c r="M14" s="168">
        <f t="shared" si="0"/>
        <v>0</v>
      </c>
      <c r="N14" s="78"/>
      <c r="O14" s="78">
        <f>IF(M14="","",RANK(M14,$M$13:$M$14,0))</f>
        <v>1</v>
      </c>
      <c r="P14" s="89"/>
      <c r="Q14" s="89"/>
    </row>
    <row r="15" spans="1:17" x14ac:dyDescent="0.15">
      <c r="B15" s="507"/>
      <c r="C15" s="507"/>
      <c r="D15" s="507"/>
    </row>
    <row r="16" spans="1:17" x14ac:dyDescent="0.15">
      <c r="C16" s="84" t="s">
        <v>182</v>
      </c>
    </row>
    <row r="17" spans="1:15" ht="19.5" thickBot="1" x14ac:dyDescent="0.2">
      <c r="A17" s="74" t="s">
        <v>118</v>
      </c>
      <c r="B17" s="91" t="s">
        <v>113</v>
      </c>
      <c r="C17" s="91" t="s">
        <v>115</v>
      </c>
      <c r="D17" s="92" t="s">
        <v>1</v>
      </c>
      <c r="E17" s="82" t="s">
        <v>2</v>
      </c>
      <c r="F17" s="172" t="s">
        <v>116</v>
      </c>
      <c r="G17" s="81" t="s">
        <v>107</v>
      </c>
      <c r="H17" s="92" t="s">
        <v>108</v>
      </c>
      <c r="I17" s="92" t="s">
        <v>109</v>
      </c>
      <c r="J17" s="92" t="s">
        <v>110</v>
      </c>
      <c r="K17" s="92" t="s">
        <v>111</v>
      </c>
      <c r="L17" s="172" t="s">
        <v>112</v>
      </c>
      <c r="M17" s="81" t="s">
        <v>3</v>
      </c>
      <c r="N17" s="82" t="s">
        <v>117</v>
      </c>
      <c r="O17" s="74" t="s">
        <v>4</v>
      </c>
    </row>
    <row r="18" spans="1:15" x14ac:dyDescent="0.15">
      <c r="B18" s="90"/>
      <c r="C18" s="102"/>
      <c r="D18" s="83"/>
      <c r="E18" s="83"/>
      <c r="F18" s="103"/>
      <c r="G18" s="165"/>
      <c r="H18" s="166"/>
      <c r="I18" s="166"/>
      <c r="J18" s="166"/>
      <c r="K18" s="166"/>
      <c r="L18" s="167"/>
      <c r="M18" s="168"/>
      <c r="N18" s="190"/>
      <c r="O18" s="78"/>
    </row>
    <row r="21" spans="1:15" ht="19.5" thickBot="1" x14ac:dyDescent="0.2">
      <c r="A21" s="74" t="s">
        <v>118</v>
      </c>
      <c r="B21" s="91" t="s">
        <v>113</v>
      </c>
      <c r="C21" s="91" t="s">
        <v>115</v>
      </c>
      <c r="D21" s="92" t="s">
        <v>1</v>
      </c>
      <c r="E21" s="82" t="s">
        <v>183</v>
      </c>
      <c r="F21" s="172" t="s">
        <v>116</v>
      </c>
      <c r="G21" s="81" t="s">
        <v>107</v>
      </c>
      <c r="H21" s="92" t="s">
        <v>108</v>
      </c>
      <c r="I21" s="92" t="s">
        <v>109</v>
      </c>
      <c r="J21" s="92" t="s">
        <v>110</v>
      </c>
      <c r="K21" s="92" t="s">
        <v>111</v>
      </c>
      <c r="L21" s="172" t="s">
        <v>112</v>
      </c>
      <c r="M21" s="81" t="s">
        <v>3</v>
      </c>
      <c r="N21" s="82" t="s">
        <v>117</v>
      </c>
      <c r="O21" s="74" t="s">
        <v>4</v>
      </c>
    </row>
    <row r="22" spans="1:15" x14ac:dyDescent="0.15">
      <c r="A22" s="306"/>
      <c r="B22" s="90"/>
      <c r="C22" s="102"/>
      <c r="D22" s="83"/>
      <c r="E22" s="83"/>
      <c r="F22" s="103"/>
      <c r="G22" s="165"/>
      <c r="H22" s="166"/>
      <c r="I22" s="166"/>
      <c r="J22" s="166"/>
      <c r="K22" s="166"/>
      <c r="L22" s="167"/>
      <c r="M22" s="168"/>
      <c r="N22" s="190"/>
      <c r="O22" s="78"/>
    </row>
    <row r="23" spans="1:15" x14ac:dyDescent="0.15">
      <c r="A23" s="229"/>
      <c r="B23" s="300"/>
      <c r="C23" s="300"/>
      <c r="D23" s="94"/>
      <c r="E23" s="94"/>
      <c r="F23" s="104"/>
      <c r="G23" s="301"/>
      <c r="H23" s="302"/>
      <c r="I23" s="302"/>
      <c r="J23" s="302"/>
      <c r="K23" s="302"/>
      <c r="L23" s="303"/>
      <c r="M23" s="304"/>
      <c r="N23" s="174"/>
      <c r="O23" s="174"/>
    </row>
    <row r="24" spans="1:15" x14ac:dyDescent="0.15">
      <c r="B24" s="300"/>
      <c r="C24" s="300"/>
      <c r="D24" s="94"/>
      <c r="E24" s="305"/>
      <c r="F24" s="104"/>
      <c r="G24" s="301"/>
      <c r="H24" s="302"/>
      <c r="I24" s="302"/>
      <c r="J24" s="302"/>
      <c r="K24" s="302"/>
      <c r="L24" s="303"/>
      <c r="M24" s="304"/>
      <c r="N24" s="174"/>
      <c r="O24" s="174"/>
    </row>
  </sheetData>
  <mergeCells count="4">
    <mergeCell ref="B15:D15"/>
    <mergeCell ref="D1:L3"/>
    <mergeCell ref="E7:F7"/>
    <mergeCell ref="E8:F8"/>
  </mergeCells>
  <phoneticPr fontId="1"/>
  <conditionalFormatting sqref="G13:L14">
    <cfRule type="cellIs" dxfId="18" priority="6" stopIfTrue="1" operator="equal">
      <formula>101.9</formula>
    </cfRule>
  </conditionalFormatting>
  <conditionalFormatting sqref="G18:L18">
    <cfRule type="cellIs" dxfId="17" priority="4" stopIfTrue="1" operator="equal">
      <formula>101.9</formula>
    </cfRule>
  </conditionalFormatting>
  <conditionalFormatting sqref="G22:L24">
    <cfRule type="cellIs" dxfId="16" priority="2" stopIfTrue="1" operator="equal">
      <formula>101.9</formula>
    </cfRule>
  </conditionalFormatting>
  <conditionalFormatting sqref="M13:M14">
    <cfRule type="cellIs" dxfId="15" priority="5" stopIfTrue="1" operator="greaterThan">
      <formula>609.9</formula>
    </cfRule>
  </conditionalFormatting>
  <conditionalFormatting sqref="M18">
    <cfRule type="cellIs" dxfId="14" priority="3" stopIfTrue="1" operator="greaterThan">
      <formula>609.9</formula>
    </cfRule>
  </conditionalFormatting>
  <conditionalFormatting sqref="M22:M24">
    <cfRule type="cellIs" dxfId="13" priority="1" stopIfTrue="1" operator="greaterThan">
      <formula>609.9</formula>
    </cfRule>
  </conditionalFormatting>
  <printOptions horizontalCentered="1"/>
  <pageMargins left="0" right="0" top="0.98425196850393704" bottom="0" header="0" footer="0"/>
  <pageSetup paperSize="9" scale="80" orientation="portrait" r:id="rId1"/>
  <headerFooter alignWithMargins="0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FFFF00"/>
    <pageSetUpPr fitToPage="1"/>
  </sheetPr>
  <dimension ref="A1:AG76"/>
  <sheetViews>
    <sheetView view="pageBreakPreview" zoomScale="70" zoomScaleNormal="100" zoomScaleSheetLayoutView="70" workbookViewId="0">
      <selection activeCell="G29" sqref="G29"/>
    </sheetView>
  </sheetViews>
  <sheetFormatPr defaultColWidth="9" defaultRowHeight="18.75" x14ac:dyDescent="0.15"/>
  <cols>
    <col min="1" max="1" width="5.125" style="29" customWidth="1"/>
    <col min="2" max="2" width="8" style="80" customWidth="1"/>
    <col min="3" max="3" width="13.25" style="80" customWidth="1"/>
    <col min="4" max="4" width="15" style="29" customWidth="1"/>
    <col min="5" max="5" width="11.125" style="29" bestFit="1" customWidth="1"/>
    <col min="6" max="6" width="5.75" style="29" customWidth="1"/>
    <col min="7" max="12" width="8.125" style="29" customWidth="1"/>
    <col min="13" max="13" width="8.625" style="65" customWidth="1"/>
    <col min="14" max="14" width="7.625" style="65" bestFit="1" customWidth="1"/>
    <col min="15" max="15" width="7.5" style="29" customWidth="1"/>
    <col min="16" max="16" width="11" style="43" customWidth="1"/>
    <col min="17" max="17" width="10.75" style="29" bestFit="1" customWidth="1"/>
    <col min="18" max="18" width="13.25" style="29" bestFit="1" customWidth="1"/>
    <col min="19" max="19" width="5.5" style="29" bestFit="1" customWidth="1"/>
    <col min="20" max="20" width="12.5" style="29" bestFit="1" customWidth="1"/>
    <col min="21" max="21" width="12.5" style="29" customWidth="1"/>
    <col min="22" max="22" width="9.125" style="29" bestFit="1" customWidth="1"/>
    <col min="23" max="24" width="12.25" style="29" customWidth="1"/>
    <col min="25" max="25" width="12.625" style="29" customWidth="1"/>
    <col min="26" max="26" width="12.25" style="29" customWidth="1"/>
    <col min="27" max="27" width="11.875" style="29" customWidth="1"/>
    <col min="28" max="16384" width="9" style="29"/>
  </cols>
  <sheetData>
    <row r="1" spans="1:33" ht="9" customHeight="1" x14ac:dyDescent="0.15">
      <c r="C1" s="491" t="s">
        <v>155</v>
      </c>
      <c r="D1" s="491"/>
      <c r="E1" s="491"/>
      <c r="F1" s="491"/>
      <c r="G1" s="491"/>
      <c r="H1" s="491"/>
      <c r="I1" s="491"/>
      <c r="J1" s="491"/>
      <c r="K1" s="491"/>
      <c r="L1" s="491"/>
      <c r="M1" s="29"/>
      <c r="N1" s="29"/>
    </row>
    <row r="2" spans="1:33" ht="9" customHeight="1" x14ac:dyDescent="0.15"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29"/>
      <c r="N2" s="29"/>
    </row>
    <row r="3" spans="1:33" ht="9" customHeight="1" x14ac:dyDescent="0.15"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29"/>
      <c r="N3" s="29"/>
    </row>
    <row r="4" spans="1:33" ht="8.25" customHeight="1" x14ac:dyDescent="0.15"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33" ht="22.5" x14ac:dyDescent="0.15">
      <c r="C5" s="66">
        <v>46313</v>
      </c>
      <c r="D5" s="67">
        <f>WEEKDAY(C5)</f>
        <v>1</v>
      </c>
      <c r="E5" s="29" t="s">
        <v>102</v>
      </c>
      <c r="J5" s="31"/>
      <c r="K5" s="31"/>
      <c r="L5" s="31"/>
      <c r="M5" s="31"/>
    </row>
    <row r="6" spans="1:33" ht="22.5" x14ac:dyDescent="0.15">
      <c r="J6" s="31"/>
      <c r="K6" s="31"/>
      <c r="L6" s="31"/>
      <c r="M6" s="31"/>
    </row>
    <row r="7" spans="1:33" ht="15" customHeight="1" x14ac:dyDescent="0.15">
      <c r="D7" s="29" t="s">
        <v>95</v>
      </c>
      <c r="E7" s="43" t="s">
        <v>96</v>
      </c>
      <c r="H7" s="29" t="s">
        <v>97</v>
      </c>
      <c r="J7" s="29" t="s">
        <v>92</v>
      </c>
      <c r="L7" s="68"/>
      <c r="M7" s="68"/>
      <c r="N7" s="68"/>
    </row>
    <row r="8" spans="1:33" ht="15" customHeight="1" x14ac:dyDescent="0.15">
      <c r="D8" s="29" t="s">
        <v>67</v>
      </c>
      <c r="E8" s="29" t="s">
        <v>93</v>
      </c>
      <c r="H8" s="29" t="s">
        <v>160</v>
      </c>
      <c r="J8" s="29" t="s">
        <v>161</v>
      </c>
      <c r="L8" s="68"/>
      <c r="M8" s="68"/>
      <c r="N8" s="68"/>
    </row>
    <row r="9" spans="1:33" ht="15" customHeight="1" x14ac:dyDescent="0.15">
      <c r="D9" s="29" t="s">
        <v>83</v>
      </c>
      <c r="E9" s="29" t="s">
        <v>94</v>
      </c>
      <c r="K9" s="194"/>
      <c r="L9" s="68"/>
      <c r="M9" s="68"/>
      <c r="N9" s="68"/>
    </row>
    <row r="10" spans="1:33" ht="15" customHeight="1" x14ac:dyDescent="0.15">
      <c r="D10" s="68"/>
      <c r="G10" s="68"/>
      <c r="I10" s="68"/>
      <c r="K10" s="68"/>
      <c r="L10" s="68"/>
      <c r="M10" s="68"/>
      <c r="N10" s="68"/>
    </row>
    <row r="11" spans="1:33" ht="19.5" thickBot="1" x14ac:dyDescent="0.2">
      <c r="A11" s="177"/>
      <c r="D11" s="29" t="s">
        <v>10</v>
      </c>
      <c r="K11" s="65"/>
      <c r="L11" s="65"/>
      <c r="M11" s="74"/>
      <c r="N11" s="74"/>
      <c r="P11" s="43" t="s">
        <v>120</v>
      </c>
      <c r="AC11" s="29" t="s">
        <v>49</v>
      </c>
    </row>
    <row r="12" spans="1:33" ht="21" customHeight="1" thickBot="1" x14ac:dyDescent="0.2">
      <c r="A12" s="95" t="s">
        <v>118</v>
      </c>
      <c r="B12" s="69" t="s">
        <v>113</v>
      </c>
      <c r="C12" s="70" t="s">
        <v>115</v>
      </c>
      <c r="D12" s="71" t="s">
        <v>1</v>
      </c>
      <c r="E12" s="72" t="s">
        <v>2</v>
      </c>
      <c r="F12" s="72" t="s">
        <v>116</v>
      </c>
      <c r="G12" s="75" t="s">
        <v>107</v>
      </c>
      <c r="H12" s="71" t="s">
        <v>108</v>
      </c>
      <c r="I12" s="71" t="s">
        <v>109</v>
      </c>
      <c r="J12" s="71" t="s">
        <v>110</v>
      </c>
      <c r="K12" s="71" t="s">
        <v>111</v>
      </c>
      <c r="L12" s="73" t="s">
        <v>112</v>
      </c>
      <c r="M12" s="100" t="s">
        <v>3</v>
      </c>
      <c r="N12" s="76" t="s">
        <v>4</v>
      </c>
      <c r="O12" s="65" t="s">
        <v>375</v>
      </c>
      <c r="P12" s="295" t="s">
        <v>122</v>
      </c>
      <c r="Q12" s="47" t="s">
        <v>115</v>
      </c>
      <c r="R12" s="47" t="s">
        <v>121</v>
      </c>
      <c r="S12" s="47" t="s">
        <v>116</v>
      </c>
      <c r="V12" s="47" t="s">
        <v>113</v>
      </c>
      <c r="W12" s="47" t="s">
        <v>125</v>
      </c>
      <c r="X12" s="47" t="s">
        <v>126</v>
      </c>
      <c r="Y12" s="47" t="s">
        <v>127</v>
      </c>
      <c r="Z12" s="47" t="s">
        <v>128</v>
      </c>
      <c r="AA12" s="47" t="s">
        <v>158</v>
      </c>
      <c r="AC12" s="295"/>
      <c r="AD12" s="47"/>
      <c r="AG12" s="47"/>
    </row>
    <row r="13" spans="1:33" ht="21" customHeight="1" x14ac:dyDescent="0.15">
      <c r="A13" s="98">
        <v>3</v>
      </c>
      <c r="B13" s="437" t="s">
        <v>140</v>
      </c>
      <c r="C13" s="438">
        <f>IF(テーブル3[[#This Row],[氏　　名]]="","",INDEX($Q$13:$Q$28,MATCH(テーブル3[[#This Row],[氏　　名]],$R$13:$R$28,0)))</f>
        <v>44028964</v>
      </c>
      <c r="D13" s="439" t="s">
        <v>314</v>
      </c>
      <c r="E13" s="439" t="str">
        <f>IF(テーブル3[[#This Row],[氏　　名]]="","",INDEX($P$13:$P$28,MATCH(D13,$R$13:$R$28,0)))</f>
        <v>済美A</v>
      </c>
      <c r="F13" s="440">
        <f>IF(テーブル3[[#This Row],[氏　　名]]="","",INDEX($S$13:$S$28,MATCH(D13,$R$13:$R$28,0)))</f>
        <v>2</v>
      </c>
      <c r="G13" s="441">
        <v>104.4</v>
      </c>
      <c r="H13" s="442">
        <v>103.5</v>
      </c>
      <c r="I13" s="442">
        <v>105.1</v>
      </c>
      <c r="J13" s="442">
        <v>103.7</v>
      </c>
      <c r="K13" s="442">
        <v>105.7</v>
      </c>
      <c r="L13" s="443">
        <v>104.8</v>
      </c>
      <c r="M13" s="444">
        <f t="shared" ref="M13:M28" si="0">IF(G13="","",SUM(G13:L13))</f>
        <v>627.19999999999993</v>
      </c>
      <c r="N13" s="445">
        <f t="shared" ref="N13:N28" si="1">IF(M13="","",RANK(M13,$M$13:$M$28))</f>
        <v>1</v>
      </c>
      <c r="O13" s="65">
        <v>25</v>
      </c>
      <c r="P13" s="295" t="s">
        <v>214</v>
      </c>
      <c r="Q13" s="47">
        <v>47034317</v>
      </c>
      <c r="R13" s="47" t="s">
        <v>213</v>
      </c>
      <c r="S13" s="47">
        <v>2</v>
      </c>
      <c r="T13" s="29" t="str">
        <f>P13&amp;1</f>
        <v>鶯谷1</v>
      </c>
      <c r="V13" s="47">
        <v>1</v>
      </c>
      <c r="W13" s="47"/>
      <c r="X13" s="47"/>
      <c r="Y13" s="47"/>
      <c r="Z13" s="47"/>
      <c r="AA13" s="47"/>
      <c r="AC13" s="311"/>
      <c r="AD13" s="47"/>
      <c r="AG13" s="47"/>
    </row>
    <row r="14" spans="1:33" ht="21" customHeight="1" x14ac:dyDescent="0.15">
      <c r="A14" s="99">
        <v>1</v>
      </c>
      <c r="B14" s="446" t="s">
        <v>131</v>
      </c>
      <c r="C14" s="438">
        <f>IF(テーブル3[[#This Row],[氏　　名]]="","",INDEX($Q$13:$Q$28,MATCH(テーブル3[[#This Row],[氏　　名]],$R$13:$R$28,0)))</f>
        <v>47034307</v>
      </c>
      <c r="D14" s="447" t="s">
        <v>304</v>
      </c>
      <c r="E14" s="447" t="str">
        <f>IF(テーブル3[[#This Row],[氏　　名]]="","",INDEX($P$13:$P$28,MATCH(D14,$R$13:$R$28,0)))</f>
        <v>済美A</v>
      </c>
      <c r="F14" s="448">
        <f>IF(テーブル3[[#This Row],[氏　　名]]="","",INDEX($S$13:$S$28,MATCH(D14,$R$13:$R$28,0)))</f>
        <v>2</v>
      </c>
      <c r="G14" s="449">
        <v>103.7</v>
      </c>
      <c r="H14" s="450">
        <v>103.6</v>
      </c>
      <c r="I14" s="450">
        <v>103.5</v>
      </c>
      <c r="J14" s="450">
        <v>102.4</v>
      </c>
      <c r="K14" s="450">
        <v>104.9</v>
      </c>
      <c r="L14" s="451">
        <v>103.8</v>
      </c>
      <c r="M14" s="452">
        <f t="shared" si="0"/>
        <v>621.9</v>
      </c>
      <c r="N14" s="470">
        <f t="shared" si="1"/>
        <v>2</v>
      </c>
      <c r="O14" s="65">
        <v>18</v>
      </c>
      <c r="P14" s="295" t="s">
        <v>197</v>
      </c>
      <c r="Q14" s="47">
        <v>47034305</v>
      </c>
      <c r="R14" s="47" t="s">
        <v>231</v>
      </c>
      <c r="S14" s="47">
        <v>2</v>
      </c>
      <c r="T14" s="29" t="str">
        <f>P14&amp;2</f>
        <v>関有知A2</v>
      </c>
      <c r="V14" s="47">
        <v>2</v>
      </c>
      <c r="W14" s="47"/>
      <c r="X14" s="47" t="str">
        <f t="shared" ref="X14:AA14" si="2">INDEX($R$13:$R$28,_xlfn.RANK.EQ(X21,$W$21:$AA$25,1))</f>
        <v>井口　蒼太</v>
      </c>
      <c r="Y14" s="47" t="str">
        <f t="shared" si="2"/>
        <v>福田　隆人</v>
      </c>
      <c r="Z14" s="47" t="str">
        <f t="shared" si="2"/>
        <v>永澤　京誠</v>
      </c>
      <c r="AA14" s="47" t="str">
        <f t="shared" si="2"/>
        <v>辻　照永</v>
      </c>
      <c r="AC14" s="295"/>
      <c r="AD14" s="47"/>
      <c r="AG14" s="47"/>
    </row>
    <row r="15" spans="1:33" ht="21" customHeight="1" x14ac:dyDescent="0.15">
      <c r="A15" s="99">
        <v>2</v>
      </c>
      <c r="B15" s="446" t="s">
        <v>139</v>
      </c>
      <c r="C15" s="438">
        <f>IF(テーブル3[[#This Row],[氏　　名]]="","",INDEX($Q$13:$Q$28,MATCH(テーブル3[[#This Row],[氏　　名]],$R$13:$R$28,0)))</f>
        <v>47034305</v>
      </c>
      <c r="D15" s="447" t="s">
        <v>305</v>
      </c>
      <c r="E15" s="453" t="str">
        <f>IF(テーブル3[[#This Row],[氏　　名]]="","",INDEX($P$13:$P$28,MATCH(D15,$R$13:$R$28,0)))</f>
        <v>関有知A</v>
      </c>
      <c r="F15" s="454">
        <f>IF(テーブル3[[#This Row],[氏　　名]]="","",INDEX($S$13:$S$28,MATCH(D15,$R$13:$R$28,0)))</f>
        <v>2</v>
      </c>
      <c r="G15" s="449">
        <v>104</v>
      </c>
      <c r="H15" s="450">
        <v>103.4</v>
      </c>
      <c r="I15" s="450">
        <v>103.2</v>
      </c>
      <c r="J15" s="450">
        <v>102.8</v>
      </c>
      <c r="K15" s="450">
        <v>103.2</v>
      </c>
      <c r="L15" s="451">
        <v>104.3</v>
      </c>
      <c r="M15" s="452">
        <f t="shared" si="0"/>
        <v>620.9</v>
      </c>
      <c r="N15" s="470">
        <f t="shared" si="1"/>
        <v>3</v>
      </c>
      <c r="O15" s="65">
        <v>19</v>
      </c>
      <c r="P15" s="295" t="s">
        <v>197</v>
      </c>
      <c r="Q15" s="47">
        <v>47034300</v>
      </c>
      <c r="R15" s="47" t="s">
        <v>232</v>
      </c>
      <c r="S15" s="47">
        <v>2</v>
      </c>
      <c r="T15" s="29" t="str">
        <f>P15&amp;3</f>
        <v>関有知A3</v>
      </c>
      <c r="V15" s="47">
        <v>3</v>
      </c>
      <c r="W15" s="47"/>
      <c r="X15" s="47" t="str">
        <f t="shared" ref="X15:AA17" si="3">INDEX($R$13:$R$28,_xlfn.RANK.EQ(X22,$W$21:$AA$25,1))</f>
        <v>春日井　月暉</v>
      </c>
      <c r="Y15" s="47" t="str">
        <f t="shared" si="3"/>
        <v>宇佐美　慶</v>
      </c>
      <c r="Z15" s="47" t="str">
        <f t="shared" si="3"/>
        <v>森嶋　礼真</v>
      </c>
      <c r="AA15" s="47" t="str">
        <f t="shared" si="3"/>
        <v>日比野　優真</v>
      </c>
      <c r="AC15" s="295"/>
      <c r="AD15" s="47"/>
      <c r="AG15" s="47"/>
    </row>
    <row r="16" spans="1:33" ht="21" customHeight="1" x14ac:dyDescent="0.15">
      <c r="A16" s="99">
        <v>14</v>
      </c>
      <c r="B16" s="455" t="s">
        <v>292</v>
      </c>
      <c r="C16" s="456">
        <f>IF(テーブル3[[#This Row],[氏　　名]]="","",INDEX($Q$13:$Q$28,MATCH(テーブル3[[#This Row],[氏　　名]],$R$13:$R$28,0)))</f>
        <v>45030629</v>
      </c>
      <c r="D16" s="420" t="s">
        <v>335</v>
      </c>
      <c r="E16" s="405" t="str">
        <f>IF(テーブル3[[#This Row],[氏　　名]]="","",INDEX($P$13:$P$28,MATCH(D16,$R$13:$R$28,0)))</f>
        <v>済美A</v>
      </c>
      <c r="F16" s="454">
        <f>IF(テーブル3[[#This Row],[氏　　名]]="","",INDEX($S$13:$S$28,MATCH(D16,$R$13:$R$28,0)))</f>
        <v>2</v>
      </c>
      <c r="G16" s="449">
        <v>105.2</v>
      </c>
      <c r="H16" s="450">
        <v>101</v>
      </c>
      <c r="I16" s="450">
        <v>103.2</v>
      </c>
      <c r="J16" s="450">
        <v>104.4</v>
      </c>
      <c r="K16" s="450">
        <v>104.4</v>
      </c>
      <c r="L16" s="451">
        <v>102.5</v>
      </c>
      <c r="M16" s="452">
        <f t="shared" si="0"/>
        <v>620.69999999999993</v>
      </c>
      <c r="N16" s="486">
        <f t="shared" si="1"/>
        <v>4</v>
      </c>
      <c r="O16" s="65">
        <v>21</v>
      </c>
      <c r="P16" s="295" t="s">
        <v>197</v>
      </c>
      <c r="Q16" s="47">
        <v>50037235</v>
      </c>
      <c r="R16" s="47" t="s">
        <v>233</v>
      </c>
      <c r="S16" s="47">
        <v>1</v>
      </c>
      <c r="T16" s="29" t="str">
        <f>P16&amp;1</f>
        <v>関有知A1</v>
      </c>
      <c r="U16" s="29" t="s">
        <v>50</v>
      </c>
      <c r="V16" s="47">
        <v>4</v>
      </c>
      <c r="W16" s="47"/>
      <c r="X16" s="47" t="str">
        <f t="shared" si="3"/>
        <v>岩本　武士</v>
      </c>
      <c r="Y16" s="47" t="str">
        <f t="shared" si="3"/>
        <v>田邉　陸玖</v>
      </c>
      <c r="Z16" s="47" t="str">
        <f t="shared" si="3"/>
        <v>加藤　凜</v>
      </c>
      <c r="AA16" s="47" t="str">
        <f t="shared" si="3"/>
        <v>澤村　実槻</v>
      </c>
      <c r="AC16" s="295"/>
      <c r="AD16" s="47"/>
      <c r="AG16" s="47"/>
    </row>
    <row r="17" spans="1:33" ht="21" customHeight="1" x14ac:dyDescent="0.15">
      <c r="A17" s="99">
        <v>5</v>
      </c>
      <c r="B17" s="446" t="s">
        <v>132</v>
      </c>
      <c r="C17" s="438">
        <f>IF(テーブル3[[#This Row],[氏　　名]]="","",INDEX($Q$13:$Q$28,MATCH(テーブル3[[#This Row],[氏　　名]],$R$13:$R$28,0)))</f>
        <v>43028791</v>
      </c>
      <c r="D17" s="447" t="s">
        <v>308</v>
      </c>
      <c r="E17" s="453" t="str">
        <f>IF(テーブル3[[#This Row],[氏　　名]]="","",INDEX($P$13:$P$28,MATCH(D17,$R$13:$R$28,0)))</f>
        <v>済美B</v>
      </c>
      <c r="F17" s="454">
        <f>IF(テーブル3[[#This Row],[氏　　名]]="","",INDEX($S$13:$S$28,MATCH(D17,$R$13:$R$28,0)))</f>
        <v>2</v>
      </c>
      <c r="G17" s="449">
        <v>104.9</v>
      </c>
      <c r="H17" s="450">
        <v>102.9</v>
      </c>
      <c r="I17" s="450">
        <v>101.9</v>
      </c>
      <c r="J17" s="450">
        <v>103.1</v>
      </c>
      <c r="K17" s="450">
        <v>101.3</v>
      </c>
      <c r="L17" s="451">
        <v>104.4</v>
      </c>
      <c r="M17" s="452">
        <f t="shared" si="0"/>
        <v>618.5</v>
      </c>
      <c r="N17" s="470">
        <f t="shared" si="1"/>
        <v>5</v>
      </c>
      <c r="O17" s="65">
        <v>16</v>
      </c>
      <c r="P17" s="295" t="s">
        <v>238</v>
      </c>
      <c r="Q17" s="47">
        <v>50037421</v>
      </c>
      <c r="R17" s="47" t="s">
        <v>234</v>
      </c>
      <c r="S17" s="47">
        <v>1</v>
      </c>
      <c r="T17" s="29" t="str">
        <f>P17&amp;2</f>
        <v>関有知B2</v>
      </c>
      <c r="U17" s="29" t="s">
        <v>51</v>
      </c>
      <c r="V17" s="47">
        <v>5</v>
      </c>
      <c r="W17" s="47"/>
      <c r="X17" s="47" t="str">
        <f t="shared" si="3"/>
        <v>平田　リュウ</v>
      </c>
      <c r="Y17" s="47" t="str">
        <f t="shared" si="3"/>
        <v>玉木　心晴</v>
      </c>
      <c r="Z17" s="47" t="str">
        <f t="shared" si="3"/>
        <v>小竹　莞太郎</v>
      </c>
      <c r="AA17" s="47" t="str">
        <f t="shared" si="3"/>
        <v>曽我　健人</v>
      </c>
      <c r="AC17" s="295"/>
      <c r="AD17" s="47"/>
      <c r="AG17" s="47"/>
    </row>
    <row r="18" spans="1:33" ht="21" customHeight="1" x14ac:dyDescent="0.15">
      <c r="A18" s="99">
        <v>9</v>
      </c>
      <c r="B18" s="455" t="s">
        <v>159</v>
      </c>
      <c r="C18" s="456">
        <f>IF(テーブル3[[#This Row],[氏　　名]]="","",INDEX($Q$13:$Q$28,MATCH(テーブル3[[#This Row],[氏　　名]],$R$13:$R$28,0)))</f>
        <v>47034300</v>
      </c>
      <c r="D18" s="420" t="s">
        <v>312</v>
      </c>
      <c r="E18" s="420" t="str">
        <f>IF(テーブル3[[#This Row],[氏　　名]]="","",INDEX($P$13:$P$28,MATCH(D18,$R$13:$R$28,0)))</f>
        <v>関有知A</v>
      </c>
      <c r="F18" s="448">
        <f>IF(テーブル3[[#This Row],[氏　　名]]="","",INDEX($S$13:$S$28,MATCH(D18,$R$13:$R$28,0)))</f>
        <v>2</v>
      </c>
      <c r="G18" s="449">
        <v>97.9</v>
      </c>
      <c r="H18" s="450">
        <v>99.6</v>
      </c>
      <c r="I18" s="450">
        <v>101.5</v>
      </c>
      <c r="J18" s="450">
        <v>102.5</v>
      </c>
      <c r="K18" s="450">
        <v>103.2</v>
      </c>
      <c r="L18" s="451">
        <v>101.3</v>
      </c>
      <c r="M18" s="452">
        <f t="shared" si="0"/>
        <v>606</v>
      </c>
      <c r="N18" s="486">
        <f t="shared" si="1"/>
        <v>6</v>
      </c>
      <c r="O18" s="65">
        <v>9</v>
      </c>
      <c r="P18" s="295" t="s">
        <v>238</v>
      </c>
      <c r="Q18" s="47">
        <v>50037587</v>
      </c>
      <c r="R18" s="47" t="s">
        <v>235</v>
      </c>
      <c r="S18" s="47">
        <v>1</v>
      </c>
      <c r="T18" s="29" t="str">
        <f t="shared" ref="T18" si="4">P18&amp;3</f>
        <v>関有知B3</v>
      </c>
      <c r="U18" s="29" t="s">
        <v>51</v>
      </c>
      <c r="V18" s="47"/>
      <c r="W18" s="47"/>
      <c r="X18" s="47"/>
      <c r="Y18" s="47"/>
      <c r="Z18" s="47"/>
      <c r="AA18" s="47"/>
      <c r="AC18" s="295"/>
      <c r="AD18" s="47"/>
      <c r="AG18" s="47"/>
    </row>
    <row r="19" spans="1:33" ht="21" customHeight="1" x14ac:dyDescent="0.15">
      <c r="A19" s="99">
        <v>8</v>
      </c>
      <c r="B19" s="391" t="s">
        <v>192</v>
      </c>
      <c r="C19" s="392">
        <f>IF(テーブル3[[#This Row],[氏　　名]]="","",INDEX($Q$13:$Q$28,MATCH(テーブル3[[#This Row],[氏　　名]],$R$13:$R$28,0)))</f>
        <v>50036216</v>
      </c>
      <c r="D19" s="83" t="s">
        <v>311</v>
      </c>
      <c r="E19" s="83" t="str">
        <f>IF(テーブル3[[#This Row],[氏　　名]]="","",INDEX($P$13:$P$28,MATCH(D19,$R$13:$R$28,0)))</f>
        <v>済美B</v>
      </c>
      <c r="F19" s="78">
        <f>IF(テーブル3[[#This Row],[氏　　名]]="","",INDEX($S$13:$S$28,MATCH(D19,$R$13:$R$28,0)))</f>
        <v>1</v>
      </c>
      <c r="G19" s="161">
        <v>102</v>
      </c>
      <c r="H19" s="162">
        <v>102.1</v>
      </c>
      <c r="I19" s="162">
        <v>102.1</v>
      </c>
      <c r="J19" s="162">
        <v>100.2</v>
      </c>
      <c r="K19" s="162">
        <v>99.9</v>
      </c>
      <c r="L19" s="163">
        <v>99.1</v>
      </c>
      <c r="M19" s="232">
        <f t="shared" si="0"/>
        <v>605.4</v>
      </c>
      <c r="N19" s="150">
        <f t="shared" si="1"/>
        <v>7</v>
      </c>
      <c r="O19" s="65">
        <v>5</v>
      </c>
      <c r="P19" s="295" t="s">
        <v>238</v>
      </c>
      <c r="Q19" s="47" t="s">
        <v>178</v>
      </c>
      <c r="R19" s="47" t="s">
        <v>236</v>
      </c>
      <c r="S19" s="47">
        <v>1</v>
      </c>
      <c r="T19" s="29" t="str">
        <f>P19&amp;1</f>
        <v>関有知B1</v>
      </c>
      <c r="U19" s="29" t="s">
        <v>287</v>
      </c>
      <c r="AC19" s="295"/>
      <c r="AD19" s="47"/>
      <c r="AG19" s="47"/>
    </row>
    <row r="20" spans="1:33" ht="21" customHeight="1" x14ac:dyDescent="0.15">
      <c r="A20" s="99">
        <v>10</v>
      </c>
      <c r="B20" s="391" t="s">
        <v>290</v>
      </c>
      <c r="C20" s="392">
        <f>IF(テーブル3[[#This Row],[氏　　名]]="","",INDEX($Q$13:$Q$28,MATCH(テーブル3[[#This Row],[氏　　名]],$R$13:$R$28,0)))</f>
        <v>47034309</v>
      </c>
      <c r="D20" s="83" t="s">
        <v>313</v>
      </c>
      <c r="E20" s="83" t="str">
        <f>IF(テーブル3[[#This Row],[氏　　名]]="","",INDEX($P$13:$P$28,MATCH(D20,$R$13:$R$28,0)))</f>
        <v>済美B</v>
      </c>
      <c r="F20" s="78">
        <f>IF(テーブル3[[#This Row],[氏　　名]]="","",INDEX($S$13:$S$28,MATCH(D20,$R$13:$R$28,0)))</f>
        <v>2</v>
      </c>
      <c r="G20" s="161">
        <v>99.2</v>
      </c>
      <c r="H20" s="162">
        <v>99.9</v>
      </c>
      <c r="I20" s="162">
        <v>100.4</v>
      </c>
      <c r="J20" s="162">
        <v>101.6</v>
      </c>
      <c r="K20" s="162">
        <v>101.3</v>
      </c>
      <c r="L20" s="163">
        <v>102.6</v>
      </c>
      <c r="M20" s="232">
        <f t="shared" si="0"/>
        <v>605</v>
      </c>
      <c r="N20" s="150">
        <f t="shared" si="1"/>
        <v>8</v>
      </c>
      <c r="O20" s="65">
        <v>8</v>
      </c>
      <c r="P20" s="295" t="s">
        <v>230</v>
      </c>
      <c r="Q20" s="47">
        <v>50037234</v>
      </c>
      <c r="R20" s="47" t="s">
        <v>237</v>
      </c>
      <c r="S20" s="47">
        <v>1</v>
      </c>
      <c r="T20" s="29" t="str">
        <f>P20&amp;2</f>
        <v>関有知2</v>
      </c>
      <c r="U20" s="29" t="s">
        <v>50</v>
      </c>
      <c r="AC20" s="295"/>
      <c r="AD20" s="47"/>
      <c r="AG20" s="47"/>
    </row>
    <row r="21" spans="1:33" ht="21" customHeight="1" x14ac:dyDescent="0.15">
      <c r="A21" s="99">
        <v>12</v>
      </c>
      <c r="B21" s="391" t="s">
        <v>194</v>
      </c>
      <c r="C21" s="392">
        <f>IF(テーブル3[[#This Row],[氏　　名]]="","",INDEX($Q$13:$Q$28,MATCH(テーブル3[[#This Row],[氏　　名]],$R$13:$R$28,0)))</f>
        <v>47034317</v>
      </c>
      <c r="D21" s="139" t="s">
        <v>315</v>
      </c>
      <c r="E21" s="83" t="str">
        <f>IF(テーブル3[[#This Row],[氏　　名]]="","",INDEX($P$13:$P$28,MATCH(D21,$R$13:$R$28,0)))</f>
        <v>鶯谷</v>
      </c>
      <c r="F21" s="78">
        <f>IF(テーブル3[[#This Row],[氏　　名]]="","",INDEX($S$13:$S$28,MATCH(D21,$R$13:$R$28,0)))</f>
        <v>2</v>
      </c>
      <c r="G21" s="161">
        <v>101.1</v>
      </c>
      <c r="H21" s="162">
        <v>99</v>
      </c>
      <c r="I21" s="162">
        <v>97.9</v>
      </c>
      <c r="J21" s="162">
        <v>98.8</v>
      </c>
      <c r="K21" s="162">
        <v>97.3</v>
      </c>
      <c r="L21" s="163">
        <v>99.4</v>
      </c>
      <c r="M21" s="232">
        <f t="shared" si="0"/>
        <v>593.5</v>
      </c>
      <c r="N21" s="150">
        <f t="shared" si="1"/>
        <v>9</v>
      </c>
      <c r="O21" s="65">
        <v>6</v>
      </c>
      <c r="P21" s="295" t="s">
        <v>351</v>
      </c>
      <c r="Q21" s="47">
        <v>50037128</v>
      </c>
      <c r="R21" s="47" t="s">
        <v>282</v>
      </c>
      <c r="S21" s="47">
        <v>1</v>
      </c>
      <c r="T21" s="29" t="str">
        <f>P21&amp;1</f>
        <v>郡上北1</v>
      </c>
      <c r="X21" s="29">
        <v>0.79334439684806024</v>
      </c>
      <c r="Y21" s="29">
        <v>0.81312533702861878</v>
      </c>
      <c r="Z21" s="29">
        <v>0.23632717308318107</v>
      </c>
      <c r="AA21" s="29">
        <v>0.29799638219794689</v>
      </c>
      <c r="AC21" s="295"/>
      <c r="AD21" s="47"/>
      <c r="AG21" s="47"/>
    </row>
    <row r="22" spans="1:33" ht="21" customHeight="1" x14ac:dyDescent="0.15">
      <c r="A22" s="99">
        <v>16</v>
      </c>
      <c r="B22" s="391" t="s">
        <v>196</v>
      </c>
      <c r="C22" s="392">
        <f>IF(テーブル3[[#This Row],[氏　　名]]="","",INDEX($Q$13:$Q$28,MATCH(テーブル3[[#This Row],[氏　　名]],$R$13:$R$28,0)))</f>
        <v>50037243</v>
      </c>
      <c r="D22" s="139" t="s">
        <v>318</v>
      </c>
      <c r="E22" s="83" t="str">
        <f>IF(テーブル3[[#This Row],[氏　　名]]="","",INDEX($P$13:$P$28,MATCH(D22,$R$13:$R$28,0)))</f>
        <v>郡上北</v>
      </c>
      <c r="F22" s="78">
        <f>IF(テーブル3[[#This Row],[氏　　名]]="","",INDEX($S$13:$S$28,MATCH(D22,$R$13:$R$28,0)))</f>
        <v>1</v>
      </c>
      <c r="G22" s="393">
        <v>93.1</v>
      </c>
      <c r="H22" s="162">
        <v>94.8</v>
      </c>
      <c r="I22" s="162">
        <v>98.9</v>
      </c>
      <c r="J22" s="162">
        <v>99.6</v>
      </c>
      <c r="K22" s="162">
        <v>99.6</v>
      </c>
      <c r="L22" s="163">
        <v>97.6</v>
      </c>
      <c r="M22" s="232">
        <f t="shared" si="0"/>
        <v>583.6</v>
      </c>
      <c r="N22" s="150">
        <f t="shared" si="1"/>
        <v>10</v>
      </c>
      <c r="O22" s="65">
        <v>5</v>
      </c>
      <c r="P22" s="295" t="s">
        <v>351</v>
      </c>
      <c r="Q22" s="47">
        <v>50037243</v>
      </c>
      <c r="R22" s="47" t="s">
        <v>283</v>
      </c>
      <c r="S22" s="47">
        <v>1</v>
      </c>
      <c r="T22" s="29" t="str">
        <f>P22&amp;1</f>
        <v>郡上北1</v>
      </c>
      <c r="X22" s="29">
        <v>0.23572023268542264</v>
      </c>
      <c r="Y22" s="29">
        <v>0.47008365268170982</v>
      </c>
      <c r="Z22" s="29">
        <v>0.86143703913532776</v>
      </c>
      <c r="AA22" s="29">
        <v>0.40742153009429771</v>
      </c>
      <c r="AC22" s="295"/>
      <c r="AD22" s="47"/>
      <c r="AG22" s="47"/>
    </row>
    <row r="23" spans="1:33" ht="21" customHeight="1" x14ac:dyDescent="0.15">
      <c r="A23" s="99">
        <v>4</v>
      </c>
      <c r="B23" s="146" t="s">
        <v>190</v>
      </c>
      <c r="C23" s="136">
        <f>IF(テーブル3[[#This Row],[氏　　名]]="","",INDEX($Q$13:$Q$28,MATCH(テーブル3[[#This Row],[氏　　名]],$R$13:$R$28,0)))</f>
        <v>50037421</v>
      </c>
      <c r="D23" s="77" t="s">
        <v>307</v>
      </c>
      <c r="E23" s="77" t="str">
        <f>IF(テーブル3[[#This Row],[氏　　名]]="","",INDEX($P$13:$P$28,MATCH(D23,$R$13:$R$28,0)))</f>
        <v>関有知B</v>
      </c>
      <c r="F23" s="78">
        <f>IF(テーブル3[[#This Row],[氏　　名]]="","",INDEX($S$13:$S$28,MATCH(D23,$R$13:$R$28,0)))</f>
        <v>1</v>
      </c>
      <c r="G23" s="161">
        <v>92.9</v>
      </c>
      <c r="H23" s="162">
        <v>94.8</v>
      </c>
      <c r="I23" s="162">
        <v>98.6</v>
      </c>
      <c r="J23" s="162">
        <v>94</v>
      </c>
      <c r="K23" s="162">
        <v>95.6</v>
      </c>
      <c r="L23" s="163">
        <v>99</v>
      </c>
      <c r="M23" s="232">
        <f t="shared" si="0"/>
        <v>574.9</v>
      </c>
      <c r="N23" s="297">
        <f t="shared" si="1"/>
        <v>11</v>
      </c>
      <c r="O23" s="65">
        <v>6</v>
      </c>
      <c r="P23" s="295" t="s">
        <v>199</v>
      </c>
      <c r="Q23" s="47">
        <v>44028964</v>
      </c>
      <c r="R23" s="47" t="s">
        <v>247</v>
      </c>
      <c r="S23" s="47">
        <v>2</v>
      </c>
      <c r="T23" s="29" t="str">
        <f>P23&amp;2</f>
        <v>済美A2</v>
      </c>
      <c r="X23" s="29">
        <v>0.33134089696006985</v>
      </c>
      <c r="Y23" s="29">
        <v>0.72603565957195426</v>
      </c>
      <c r="Z23" s="29">
        <v>0.63123861236504653</v>
      </c>
      <c r="AA23" s="29">
        <v>0.24778974988202052</v>
      </c>
      <c r="AC23" s="295"/>
      <c r="AD23" s="47"/>
      <c r="AG23" s="47"/>
    </row>
    <row r="24" spans="1:33" ht="21" customHeight="1" x14ac:dyDescent="0.15">
      <c r="A24" s="99">
        <v>11</v>
      </c>
      <c r="B24" s="391" t="s">
        <v>193</v>
      </c>
      <c r="C24" s="392">
        <f>IF(テーブル3[[#This Row],[氏　　名]]="","",INDEX($Q$13:$Q$28,MATCH(テーブル3[[#This Row],[氏　　名]],$R$13:$R$28,0)))</f>
        <v>50037587</v>
      </c>
      <c r="D24" s="83" t="s">
        <v>334</v>
      </c>
      <c r="E24" s="83" t="str">
        <f>IF(テーブル3[[#This Row],[氏　　名]]="","",INDEX($P$13:$P$28,MATCH(D24,$R$13:$R$28,0)))</f>
        <v>関有知B</v>
      </c>
      <c r="F24" s="78">
        <f>IF(テーブル3[[#This Row],[氏　　名]]="","",INDEX($S$13:$S$28,MATCH(D24,$R$13:$R$28,0)))</f>
        <v>1</v>
      </c>
      <c r="G24" s="161">
        <v>93.8</v>
      </c>
      <c r="H24" s="162">
        <v>92.5</v>
      </c>
      <c r="I24" s="162">
        <v>96</v>
      </c>
      <c r="J24" s="162">
        <v>90</v>
      </c>
      <c r="K24" s="162">
        <v>98.9</v>
      </c>
      <c r="L24" s="163">
        <v>99</v>
      </c>
      <c r="M24" s="232">
        <f t="shared" si="0"/>
        <v>570.20000000000005</v>
      </c>
      <c r="N24" s="150">
        <f t="shared" si="1"/>
        <v>12</v>
      </c>
      <c r="O24" s="65">
        <v>8</v>
      </c>
      <c r="P24" s="295" t="s">
        <v>199</v>
      </c>
      <c r="Q24" s="47">
        <v>45030629</v>
      </c>
      <c r="R24" s="47" t="s">
        <v>249</v>
      </c>
      <c r="S24" s="47">
        <v>2</v>
      </c>
      <c r="T24" s="29" t="str">
        <f>P24&amp;3</f>
        <v>済美A3</v>
      </c>
      <c r="U24" s="29" t="s">
        <v>49</v>
      </c>
      <c r="X24" s="29">
        <v>0.26751191642023853</v>
      </c>
      <c r="Y24" s="29">
        <v>0.97282632178647732</v>
      </c>
      <c r="Z24" s="29">
        <v>9.6162913244672965E-2</v>
      </c>
      <c r="AA24" s="29">
        <v>0.60394332470464496</v>
      </c>
      <c r="AC24" s="295"/>
      <c r="AD24" s="47"/>
      <c r="AG24" s="47"/>
    </row>
    <row r="25" spans="1:33" ht="21" customHeight="1" x14ac:dyDescent="0.15">
      <c r="A25" s="99">
        <v>6</v>
      </c>
      <c r="B25" s="146" t="s">
        <v>163</v>
      </c>
      <c r="C25" s="136">
        <f>IF(テーブル3[[#This Row],[氏　　名]]="","",INDEX($Q$13:$Q$28,MATCH(テーブル3[[#This Row],[氏　　名]],$R$13:$R$28,0)))</f>
        <v>50037128</v>
      </c>
      <c r="D25" s="77" t="s">
        <v>309</v>
      </c>
      <c r="E25" s="77" t="str">
        <f>IF(テーブル3[[#This Row],[氏　　名]]="","",INDEX($P$13:$P$28,MATCH(D25,$R$13:$R$28,0)))</f>
        <v>郡上北</v>
      </c>
      <c r="F25" s="78">
        <f>IF(テーブル3[[#This Row],[氏　　名]]="","",INDEX($S$13:$S$28,MATCH(D25,$R$13:$R$28,0)))</f>
        <v>1</v>
      </c>
      <c r="G25" s="161">
        <v>92.2</v>
      </c>
      <c r="H25" s="162">
        <v>95.2</v>
      </c>
      <c r="I25" s="162">
        <v>96.5</v>
      </c>
      <c r="J25" s="162">
        <v>92.6</v>
      </c>
      <c r="K25" s="162">
        <v>93.4</v>
      </c>
      <c r="L25" s="163">
        <v>98.2</v>
      </c>
      <c r="M25" s="232">
        <f t="shared" si="0"/>
        <v>568.1</v>
      </c>
      <c r="N25" s="297">
        <f t="shared" si="1"/>
        <v>13</v>
      </c>
      <c r="O25" s="65">
        <v>0</v>
      </c>
      <c r="P25" s="295" t="s">
        <v>199</v>
      </c>
      <c r="Q25" s="47">
        <v>47034307</v>
      </c>
      <c r="R25" s="47" t="s">
        <v>250</v>
      </c>
      <c r="S25" s="47">
        <v>2</v>
      </c>
      <c r="T25" s="29" t="str">
        <f>P25&amp;1</f>
        <v>済美A1</v>
      </c>
      <c r="AC25" s="295"/>
      <c r="AD25" s="47"/>
      <c r="AG25" s="47"/>
    </row>
    <row r="26" spans="1:33" ht="21" customHeight="1" x14ac:dyDescent="0.15">
      <c r="A26" s="99">
        <v>15</v>
      </c>
      <c r="B26" s="391" t="s">
        <v>195</v>
      </c>
      <c r="C26" s="392">
        <f>IF(テーブル3[[#This Row],[氏　　名]]="","",INDEX($Q$13:$Q$28,MATCH(テーブル3[[#This Row],[氏　　名]],$R$13:$R$28,0)))</f>
        <v>50037235</v>
      </c>
      <c r="D26" s="83" t="s">
        <v>317</v>
      </c>
      <c r="E26" s="83" t="str">
        <f>IF(テーブル3[[#This Row],[氏　　名]]="","",INDEX($P$13:$P$28,MATCH(D26,$R$13:$R$28,0)))</f>
        <v>関有知A</v>
      </c>
      <c r="F26" s="78">
        <f>IF(テーブル3[[#This Row],[氏　　名]]="","",INDEX($S$13:$S$28,MATCH(D26,$R$13:$R$28,0)))</f>
        <v>1</v>
      </c>
      <c r="G26" s="161">
        <v>86.7</v>
      </c>
      <c r="H26" s="162">
        <v>95.4</v>
      </c>
      <c r="I26" s="162">
        <v>90.7</v>
      </c>
      <c r="J26" s="162">
        <v>94.6</v>
      </c>
      <c r="K26" s="162">
        <v>92</v>
      </c>
      <c r="L26" s="163">
        <v>96</v>
      </c>
      <c r="M26" s="232">
        <f t="shared" si="0"/>
        <v>555.4</v>
      </c>
      <c r="N26" s="150">
        <f t="shared" si="1"/>
        <v>14</v>
      </c>
      <c r="O26" s="65">
        <v>1</v>
      </c>
      <c r="P26" s="295" t="s">
        <v>200</v>
      </c>
      <c r="Q26" s="47">
        <v>43028791</v>
      </c>
      <c r="R26" s="47" t="s">
        <v>248</v>
      </c>
      <c r="S26" s="47">
        <v>2</v>
      </c>
      <c r="T26" s="29" t="str">
        <f>P26&amp;2</f>
        <v>済美B2</v>
      </c>
      <c r="AC26" s="295"/>
      <c r="AD26" s="295"/>
      <c r="AG26" s="295"/>
    </row>
    <row r="27" spans="1:33" ht="21" customHeight="1" x14ac:dyDescent="0.15">
      <c r="A27" s="99">
        <v>7</v>
      </c>
      <c r="B27" s="146" t="s">
        <v>191</v>
      </c>
      <c r="C27" s="136">
        <f>IF(テーブル3[[#This Row],[氏　　名]]="","",INDEX($Q$13:$Q$28,MATCH(テーブル3[[#This Row],[氏　　名]],$R$13:$R$28,0)))</f>
        <v>50037234</v>
      </c>
      <c r="D27" s="77" t="s">
        <v>316</v>
      </c>
      <c r="E27" s="77" t="str">
        <f>IF(テーブル3[[#This Row],[氏　　名]]="","",INDEX($P$13:$P$28,MATCH(D27,$R$13:$R$28,0)))</f>
        <v>関有知</v>
      </c>
      <c r="F27" s="78">
        <f>IF(テーブル3[[#This Row],[氏　　名]]="","",INDEX($S$13:$S$28,MATCH(D27,$R$13:$R$28,0)))</f>
        <v>1</v>
      </c>
      <c r="G27" s="161">
        <v>87.5</v>
      </c>
      <c r="H27" s="162">
        <v>90.2</v>
      </c>
      <c r="I27" s="162">
        <v>96.3</v>
      </c>
      <c r="J27" s="162">
        <v>97.9</v>
      </c>
      <c r="K27" s="162">
        <v>89</v>
      </c>
      <c r="L27" s="163">
        <v>87.6</v>
      </c>
      <c r="M27" s="232">
        <f t="shared" si="0"/>
        <v>548.5</v>
      </c>
      <c r="N27" s="297">
        <f t="shared" si="1"/>
        <v>15</v>
      </c>
      <c r="O27" s="65">
        <v>6</v>
      </c>
      <c r="P27" s="295" t="s">
        <v>200</v>
      </c>
      <c r="Q27" s="47">
        <v>47034309</v>
      </c>
      <c r="R27" s="47" t="s">
        <v>253</v>
      </c>
      <c r="S27" s="47">
        <v>2</v>
      </c>
      <c r="T27" s="29" t="str">
        <f>P27&amp;3</f>
        <v>済美B3</v>
      </c>
      <c r="AC27" s="295"/>
      <c r="AD27" s="47"/>
      <c r="AG27" s="47"/>
    </row>
    <row r="28" spans="1:33" ht="21" customHeight="1" thickBot="1" x14ac:dyDescent="0.2">
      <c r="A28" s="394">
        <v>13</v>
      </c>
      <c r="B28" s="395" t="s">
        <v>291</v>
      </c>
      <c r="C28" s="396" t="str">
        <f>IF(テーブル3[[#This Row],[氏　　名]]="","",INDEX($Q$13:$Q$28,MATCH(テーブル3[[#This Row],[氏　　名]],$R$13:$R$28,0)))</f>
        <v>申請中</v>
      </c>
      <c r="D28" s="94" t="s">
        <v>306</v>
      </c>
      <c r="E28" s="94" t="str">
        <f>IF(テーブル3[[#This Row],[氏　　名]]="","",INDEX($P$13:$P$28,MATCH(D28,$R$13:$R$28,0)))</f>
        <v>関有知B</v>
      </c>
      <c r="F28" s="174">
        <f>IF(テーブル3[[#This Row],[氏　　名]]="","",INDEX($S$13:$S$28,MATCH(D28,$R$13:$R$28,0)))</f>
        <v>1</v>
      </c>
      <c r="G28" s="191" t="s">
        <v>377</v>
      </c>
      <c r="H28" s="397"/>
      <c r="I28" s="397"/>
      <c r="J28" s="397"/>
      <c r="K28" s="397"/>
      <c r="L28" s="398"/>
      <c r="M28" s="399">
        <f t="shared" si="0"/>
        <v>0</v>
      </c>
      <c r="N28" s="144">
        <f t="shared" si="1"/>
        <v>16</v>
      </c>
      <c r="O28" s="65"/>
      <c r="P28" s="295" t="s">
        <v>200</v>
      </c>
      <c r="Q28" s="47">
        <v>50036216</v>
      </c>
      <c r="R28" s="47" t="s">
        <v>254</v>
      </c>
      <c r="S28" s="47">
        <v>1</v>
      </c>
      <c r="T28" s="29" t="str">
        <f>P28&amp;1</f>
        <v>済美B1</v>
      </c>
      <c r="AC28" s="295"/>
      <c r="AD28" s="295"/>
      <c r="AG28" s="295"/>
    </row>
    <row r="29" spans="1:33" x14ac:dyDescent="0.15">
      <c r="B29" s="308"/>
      <c r="C29" s="308"/>
      <c r="D29" s="309"/>
      <c r="E29" s="309"/>
      <c r="F29" s="309"/>
      <c r="G29" s="310"/>
      <c r="H29" s="310"/>
      <c r="I29" s="310"/>
      <c r="J29" s="310"/>
      <c r="K29" s="310"/>
      <c r="L29" s="310"/>
      <c r="M29" s="310"/>
      <c r="N29" s="299"/>
    </row>
    <row r="30" spans="1:33" ht="19.5" thickBot="1" x14ac:dyDescent="0.2">
      <c r="D30" s="29" t="s">
        <v>9</v>
      </c>
      <c r="P30" s="43" t="s">
        <v>120</v>
      </c>
    </row>
    <row r="31" spans="1:33" ht="21" customHeight="1" thickBot="1" x14ac:dyDescent="0.2">
      <c r="A31" s="189" t="s">
        <v>118</v>
      </c>
      <c r="B31" s="178" t="s">
        <v>0</v>
      </c>
      <c r="C31" s="179" t="s">
        <v>115</v>
      </c>
      <c r="D31" s="92" t="s">
        <v>1</v>
      </c>
      <c r="E31" s="82" t="s">
        <v>2</v>
      </c>
      <c r="F31" s="151" t="s">
        <v>116</v>
      </c>
      <c r="G31" s="152" t="s">
        <v>107</v>
      </c>
      <c r="H31" s="96" t="s">
        <v>108</v>
      </c>
      <c r="I31" s="96" t="s">
        <v>109</v>
      </c>
      <c r="J31" s="96" t="s">
        <v>110</v>
      </c>
      <c r="K31" s="96" t="s">
        <v>111</v>
      </c>
      <c r="L31" s="97" t="s">
        <v>112</v>
      </c>
      <c r="M31" s="180" t="s">
        <v>3</v>
      </c>
      <c r="N31" s="76" t="s">
        <v>4</v>
      </c>
      <c r="O31" s="65" t="s">
        <v>375</v>
      </c>
      <c r="P31" s="295" t="s">
        <v>122</v>
      </c>
      <c r="Q31" s="47" t="s">
        <v>115</v>
      </c>
      <c r="R31" s="47" t="s">
        <v>121</v>
      </c>
      <c r="S31" s="47" t="s">
        <v>116</v>
      </c>
      <c r="V31" s="47" t="s">
        <v>113</v>
      </c>
      <c r="W31" s="47" t="s">
        <v>125</v>
      </c>
      <c r="X31" s="47" t="s">
        <v>126</v>
      </c>
      <c r="Y31" s="47" t="s">
        <v>127</v>
      </c>
      <c r="Z31" s="47" t="s">
        <v>128</v>
      </c>
      <c r="AA31" s="47" t="s">
        <v>158</v>
      </c>
    </row>
    <row r="32" spans="1:33" ht="21" customHeight="1" x14ac:dyDescent="0.15">
      <c r="A32" s="141">
        <v>17</v>
      </c>
      <c r="B32" s="457" t="s">
        <v>300</v>
      </c>
      <c r="C32" s="458">
        <f>IF(テーブル5[[#This Row],[氏　　名]]="","",INDEX($Q$32:$Q$50,MATCH(D32,$R$32:$R$50,0)))</f>
        <v>47034310</v>
      </c>
      <c r="D32" s="459" t="s">
        <v>331</v>
      </c>
      <c r="E32" s="460" t="str">
        <f>IF(テーブル5[[#This Row],[氏　　名]]="","",INDEX($P$32:$P$50,MATCH(D32,$R$32:$R$50,0)))</f>
        <v>済美A</v>
      </c>
      <c r="F32" s="461">
        <f>IF(テーブル5[[#This Row],[氏　　名]]="","",INDEX($S$32:$S$50,MATCH(D32,$R$32:$R$50,0)))</f>
        <v>2</v>
      </c>
      <c r="G32" s="441">
        <v>100.8</v>
      </c>
      <c r="H32" s="442">
        <v>103.1</v>
      </c>
      <c r="I32" s="442">
        <v>102.7</v>
      </c>
      <c r="J32" s="442">
        <v>101.1</v>
      </c>
      <c r="K32" s="442">
        <v>104.6</v>
      </c>
      <c r="L32" s="443">
        <v>104.2</v>
      </c>
      <c r="M32" s="462">
        <f t="shared" ref="M32:M50" si="5">IF(G32="","",SUM(G32:L32))</f>
        <v>616.5</v>
      </c>
      <c r="N32" s="445">
        <f t="shared" ref="N32:N50" si="6">IF(M32="","",RANK(M32,$M$32:$M$52))</f>
        <v>1</v>
      </c>
      <c r="O32" s="29">
        <v>14</v>
      </c>
      <c r="P32" s="295" t="s">
        <v>220</v>
      </c>
      <c r="Q32" s="47">
        <v>50036115</v>
      </c>
      <c r="R32" s="47" t="s">
        <v>215</v>
      </c>
      <c r="S32" s="47">
        <v>1</v>
      </c>
      <c r="T32" s="29" t="str">
        <f>P32&amp;1</f>
        <v>鶯谷A1</v>
      </c>
      <c r="V32" s="47">
        <v>2</v>
      </c>
      <c r="W32" s="47" t="str">
        <f>INDEX($R$32:$R$50,_xlfn.RANK.EQ(W44,$W$44:$Z$51,0))</f>
        <v>伊藤　碧音　</v>
      </c>
      <c r="AC32" s="47"/>
      <c r="AD32" s="137"/>
      <c r="AE32" s="295"/>
    </row>
    <row r="33" spans="1:31" ht="21" customHeight="1" x14ac:dyDescent="0.15">
      <c r="A33" s="175">
        <v>4</v>
      </c>
      <c r="B33" s="463" t="s">
        <v>189</v>
      </c>
      <c r="C33" s="464">
        <f>IF(テーブル5[[#This Row],[氏　　名]]="","",INDEX($Q$32:$Q$50,MATCH(D33,$R$32:$R$50,0)))</f>
        <v>46033453</v>
      </c>
      <c r="D33" s="465" t="s">
        <v>329</v>
      </c>
      <c r="E33" s="466" t="str">
        <f>IF(テーブル5[[#This Row],[氏　　名]]="","",INDEX($P$32:$P$50,MATCH(D33,$R$32:$R$50,0)))</f>
        <v>済美A</v>
      </c>
      <c r="F33" s="467">
        <f>IF(テーブル5[[#This Row],[氏　　名]]="","",INDEX($S$32:$S$50,MATCH(D33,$R$32:$R$50,0)))</f>
        <v>1</v>
      </c>
      <c r="G33" s="468">
        <v>102.6</v>
      </c>
      <c r="H33" s="450">
        <v>100.1</v>
      </c>
      <c r="I33" s="450">
        <v>103.3</v>
      </c>
      <c r="J33" s="450">
        <v>103.4</v>
      </c>
      <c r="K33" s="450">
        <v>102.6</v>
      </c>
      <c r="L33" s="451">
        <v>102.9</v>
      </c>
      <c r="M33" s="469">
        <f t="shared" si="5"/>
        <v>614.9</v>
      </c>
      <c r="N33" s="470">
        <f t="shared" si="6"/>
        <v>2</v>
      </c>
      <c r="O33" s="29">
        <v>14</v>
      </c>
      <c r="P33" s="295" t="s">
        <v>220</v>
      </c>
      <c r="Q33" s="47" t="s">
        <v>216</v>
      </c>
      <c r="R33" s="47" t="s">
        <v>217</v>
      </c>
      <c r="S33" s="47">
        <v>1</v>
      </c>
      <c r="T33" s="29" t="str">
        <f>P33&amp;2</f>
        <v>鶯谷A2</v>
      </c>
      <c r="V33" s="47">
        <v>3</v>
      </c>
      <c r="W33" s="47" t="str">
        <f t="shared" ref="W33:W35" si="7">INDEX($R$32:$R$50,_xlfn.RANK.EQ(W45,$W$44:$Z$51,0))</f>
        <v>宮﨑　波</v>
      </c>
      <c r="AC33" s="47"/>
      <c r="AD33" s="137"/>
      <c r="AE33" s="295"/>
    </row>
    <row r="34" spans="1:31" ht="21" customHeight="1" x14ac:dyDescent="0.15">
      <c r="A34" s="175">
        <v>3</v>
      </c>
      <c r="B34" s="463" t="s">
        <v>138</v>
      </c>
      <c r="C34" s="464">
        <f>IF(テーブル5[[#This Row],[氏　　名]]="","",INDEX($Q$32:$Q$50,MATCH(D34,$R$32:$R$50,0)))</f>
        <v>50036212</v>
      </c>
      <c r="D34" s="465" t="s">
        <v>320</v>
      </c>
      <c r="E34" s="466" t="str">
        <f>IF(テーブル5[[#This Row],[氏　　名]]="","",INDEX($P$32:$P$50,MATCH(D34,$R$32:$R$50,0)))</f>
        <v>済美A</v>
      </c>
      <c r="F34" s="467">
        <f>IF(テーブル5[[#This Row],[氏　　名]]="","",INDEX($S$32:$S$50,MATCH(D34,$R$32:$R$50,0)))</f>
        <v>1</v>
      </c>
      <c r="G34" s="449">
        <v>102.3</v>
      </c>
      <c r="H34" s="450">
        <v>100</v>
      </c>
      <c r="I34" s="450">
        <v>102.3</v>
      </c>
      <c r="J34" s="450">
        <v>101</v>
      </c>
      <c r="K34" s="450">
        <v>101.1</v>
      </c>
      <c r="L34" s="451">
        <v>102.8</v>
      </c>
      <c r="M34" s="469">
        <f t="shared" si="5"/>
        <v>609.5</v>
      </c>
      <c r="N34" s="470">
        <f t="shared" si="6"/>
        <v>3</v>
      </c>
      <c r="O34" s="29">
        <v>5</v>
      </c>
      <c r="P34" s="295" t="s">
        <v>220</v>
      </c>
      <c r="Q34" s="47" t="s">
        <v>218</v>
      </c>
      <c r="R34" s="47" t="s">
        <v>219</v>
      </c>
      <c r="S34" s="47">
        <v>1</v>
      </c>
      <c r="T34" s="29" t="str">
        <f>P34&amp;3</f>
        <v>鶯谷A3</v>
      </c>
      <c r="V34" s="47">
        <v>4</v>
      </c>
      <c r="W34" s="47" t="str">
        <f>INDEX($R$32:$R$50,_xlfn.RANK.EQ(W46,$W$44:$Z$51,0))</f>
        <v>杉山　碧依</v>
      </c>
      <c r="AC34" s="47"/>
      <c r="AD34" s="137"/>
      <c r="AE34" s="295"/>
    </row>
    <row r="35" spans="1:31" ht="21" customHeight="1" x14ac:dyDescent="0.15">
      <c r="A35" s="175">
        <v>14</v>
      </c>
      <c r="B35" s="463" t="s">
        <v>299</v>
      </c>
      <c r="C35" s="464">
        <f>IF(テーブル5[[#This Row],[氏　　名]]="","",INDEX($Q$32:$Q$50,MATCH(D35,$R$32:$R$50,0)))</f>
        <v>50036015</v>
      </c>
      <c r="D35" s="465" t="s">
        <v>328</v>
      </c>
      <c r="E35" s="466" t="str">
        <f>IF(テーブル5[[#This Row],[氏　　名]]="","",INDEX($P$32:$P$50,MATCH(D35,$R$32:$R$50,0)))</f>
        <v>済美B</v>
      </c>
      <c r="F35" s="467">
        <f>IF(テーブル5[[#This Row],[氏　　名]]="","",INDEX($S$32:$S$50,MATCH(D35,$R$32:$R$50,0)))</f>
        <v>1</v>
      </c>
      <c r="G35" s="469">
        <v>100.3</v>
      </c>
      <c r="H35" s="450">
        <v>101.1</v>
      </c>
      <c r="I35" s="450">
        <v>103.2</v>
      </c>
      <c r="J35" s="450">
        <v>101</v>
      </c>
      <c r="K35" s="450">
        <v>99.3</v>
      </c>
      <c r="L35" s="451">
        <v>103.2</v>
      </c>
      <c r="M35" s="469">
        <f t="shared" si="5"/>
        <v>608.1</v>
      </c>
      <c r="N35" s="470">
        <f t="shared" si="6"/>
        <v>4</v>
      </c>
      <c r="O35" s="29">
        <v>6</v>
      </c>
      <c r="P35" s="47" t="s">
        <v>197</v>
      </c>
      <c r="Q35" s="47">
        <v>50037237</v>
      </c>
      <c r="R35" s="47" t="s">
        <v>239</v>
      </c>
      <c r="S35" s="47">
        <v>1</v>
      </c>
      <c r="T35" s="29" t="str">
        <f t="shared" ref="T35:T50" si="8">P35&amp;1</f>
        <v>関有知A1</v>
      </c>
      <c r="U35" s="29" t="s">
        <v>286</v>
      </c>
      <c r="V35" s="47">
        <v>5</v>
      </c>
      <c r="W35" s="47" t="str">
        <f t="shared" si="7"/>
        <v>押田　雪那</v>
      </c>
      <c r="AC35" s="47"/>
      <c r="AD35" s="137"/>
      <c r="AE35" s="295"/>
    </row>
    <row r="36" spans="1:31" ht="21" customHeight="1" x14ac:dyDescent="0.15">
      <c r="A36" s="175">
        <v>12</v>
      </c>
      <c r="B36" s="463" t="s">
        <v>295</v>
      </c>
      <c r="C36" s="464" t="str">
        <f>IF(テーブル5[[#This Row],[氏　　名]]="","",INDEX($Q$32:$Q$50,MATCH(D36,$R$32:$R$50,0)))</f>
        <v>申請中</v>
      </c>
      <c r="D36" s="465" t="s">
        <v>327</v>
      </c>
      <c r="E36" s="466" t="str">
        <f>IF(テーブル5[[#This Row],[氏　　名]]="","",INDEX($P$32:$P$50,MATCH(D36,$R$32:$R$50,0)))</f>
        <v>済美B</v>
      </c>
      <c r="F36" s="467">
        <f>IF(テーブル5[[#This Row],[氏　　名]]="","",INDEX($S$32:$S$50,MATCH(D36,$R$32:$R$50,0)))</f>
        <v>1</v>
      </c>
      <c r="G36" s="469">
        <v>101.8</v>
      </c>
      <c r="H36" s="450">
        <v>100.5</v>
      </c>
      <c r="I36" s="450">
        <v>101.4</v>
      </c>
      <c r="J36" s="450">
        <v>99.8</v>
      </c>
      <c r="K36" s="450">
        <v>98.7</v>
      </c>
      <c r="L36" s="451">
        <v>102.8</v>
      </c>
      <c r="M36" s="469">
        <f t="shared" si="5"/>
        <v>605</v>
      </c>
      <c r="N36" s="470">
        <f t="shared" si="6"/>
        <v>5</v>
      </c>
      <c r="O36" s="29">
        <v>11</v>
      </c>
      <c r="P36" s="47" t="s">
        <v>197</v>
      </c>
      <c r="Q36" s="47">
        <v>50037409</v>
      </c>
      <c r="R36" s="47" t="s">
        <v>240</v>
      </c>
      <c r="S36" s="47">
        <v>1</v>
      </c>
      <c r="T36" s="29" t="str">
        <f>P36&amp;2</f>
        <v>関有知A2</v>
      </c>
      <c r="U36" s="29" t="s">
        <v>286</v>
      </c>
      <c r="V36" s="29">
        <v>6</v>
      </c>
      <c r="W36" s="47" t="str">
        <f>INDEX($R$32:$R$50,_xlfn.RANK.EQ(W48,$W$44:$Z$51,0))</f>
        <v>松丸　葵</v>
      </c>
      <c r="X36" s="47" t="str">
        <f t="shared" ref="X36:Z36" si="9">INDEX($R$32:$R$50,_xlfn.RANK.EQ(X48,$W$44:$Z$51,0))</f>
        <v>後藤　小日芽</v>
      </c>
      <c r="Y36" s="47" t="str">
        <f t="shared" si="9"/>
        <v>角　　律希</v>
      </c>
      <c r="Z36" s="47" t="str">
        <f t="shared" si="9"/>
        <v>河出　菜欧美</v>
      </c>
      <c r="AA36" s="47"/>
      <c r="AC36" s="47"/>
      <c r="AD36" s="137"/>
      <c r="AE36" s="295"/>
    </row>
    <row r="37" spans="1:31" ht="21" customHeight="1" x14ac:dyDescent="0.15">
      <c r="A37" s="175">
        <v>8</v>
      </c>
      <c r="B37" s="463" t="s">
        <v>294</v>
      </c>
      <c r="C37" s="464">
        <f>IF(テーブル5[[#This Row],[氏　　名]]="","",INDEX($Q$32:$Q$50,MATCH(D37,$R$32:$R$50,0)))</f>
        <v>50036229</v>
      </c>
      <c r="D37" s="465" t="s">
        <v>324</v>
      </c>
      <c r="E37" s="466" t="str">
        <f>IF(テーブル5[[#This Row],[氏　　名]]="","",INDEX($P$32:$P$50,MATCH(D37,$R$32:$R$50,0)))</f>
        <v>済美B</v>
      </c>
      <c r="F37" s="467">
        <f>IF(テーブル5[[#This Row],[氏　　名]]="","",INDEX($S$32:$S$50,MATCH(D37,$R$32:$R$50,0)))</f>
        <v>1</v>
      </c>
      <c r="G37" s="469">
        <v>101</v>
      </c>
      <c r="H37" s="450">
        <v>98.6</v>
      </c>
      <c r="I37" s="450">
        <v>103.4</v>
      </c>
      <c r="J37" s="450">
        <v>100.1</v>
      </c>
      <c r="K37" s="450">
        <v>98</v>
      </c>
      <c r="L37" s="451">
        <v>102.4</v>
      </c>
      <c r="M37" s="469">
        <f t="shared" si="5"/>
        <v>603.5</v>
      </c>
      <c r="N37" s="470">
        <f t="shared" si="6"/>
        <v>6</v>
      </c>
      <c r="O37" s="29">
        <v>9</v>
      </c>
      <c r="P37" s="47" t="s">
        <v>197</v>
      </c>
      <c r="Q37" s="47">
        <v>50037585</v>
      </c>
      <c r="R37" s="47" t="s">
        <v>241</v>
      </c>
      <c r="S37" s="47">
        <v>1</v>
      </c>
      <c r="T37" s="29" t="str">
        <f>P37&amp;3</f>
        <v>関有知A3</v>
      </c>
      <c r="U37" s="29" t="s">
        <v>287</v>
      </c>
      <c r="V37" s="29">
        <v>7</v>
      </c>
      <c r="W37" s="47" t="str">
        <f t="shared" ref="W37:Z37" si="10">INDEX($R$32:$R$50,_xlfn.RANK.EQ(W49,$W$44:$Z$51,0))</f>
        <v>山田　千結</v>
      </c>
      <c r="X37" s="47" t="str">
        <f t="shared" si="10"/>
        <v>小川　桜空</v>
      </c>
      <c r="Y37" s="47" t="str">
        <f t="shared" si="10"/>
        <v>梶川　結妃</v>
      </c>
      <c r="Z37" s="47" t="str">
        <f t="shared" si="10"/>
        <v>吉田　実咲希</v>
      </c>
      <c r="AA37" s="47"/>
      <c r="AC37" s="47"/>
      <c r="AD37" s="137"/>
      <c r="AE37" s="295"/>
    </row>
    <row r="38" spans="1:31" ht="21" customHeight="1" x14ac:dyDescent="0.15">
      <c r="A38" s="175">
        <v>6</v>
      </c>
      <c r="B38" s="255" t="s">
        <v>133</v>
      </c>
      <c r="C38" s="296">
        <f>IF(テーブル5[[#This Row],[氏　　名]]="","",INDEX($Q$32:$Q$50,MATCH(D38,$R$32:$R$50,0)))</f>
        <v>50037237</v>
      </c>
      <c r="D38" s="257" t="s">
        <v>332</v>
      </c>
      <c r="E38" s="256" t="str">
        <f>IF(テーブル5[[#This Row],[氏　　名]]="","",INDEX($P$32:$P$50,MATCH(D38,$R$32:$R$50,0)))</f>
        <v>関有知A</v>
      </c>
      <c r="F38" s="153">
        <f>IF(テーブル5[[#This Row],[氏　　名]]="","",INDEX($S$32:$S$50,MATCH(D38,$R$32:$R$50,0)))</f>
        <v>1</v>
      </c>
      <c r="G38" s="258">
        <v>101.1</v>
      </c>
      <c r="H38" s="162">
        <v>100.6</v>
      </c>
      <c r="I38" s="162">
        <v>97.4</v>
      </c>
      <c r="J38" s="162">
        <v>103.4</v>
      </c>
      <c r="K38" s="162">
        <v>96.1</v>
      </c>
      <c r="L38" s="163">
        <v>101.8</v>
      </c>
      <c r="M38" s="258">
        <f t="shared" si="5"/>
        <v>600.4</v>
      </c>
      <c r="N38" s="297">
        <f t="shared" si="6"/>
        <v>7</v>
      </c>
      <c r="O38" s="29">
        <v>6</v>
      </c>
      <c r="P38" s="47" t="s">
        <v>230</v>
      </c>
      <c r="Q38" s="47">
        <v>50037258</v>
      </c>
      <c r="R38" s="47" t="s">
        <v>242</v>
      </c>
      <c r="S38" s="47">
        <v>1</v>
      </c>
      <c r="T38" s="29" t="str">
        <f t="shared" si="8"/>
        <v>関有知1</v>
      </c>
      <c r="U38" s="29" t="s">
        <v>287</v>
      </c>
      <c r="V38" s="29">
        <v>8</v>
      </c>
      <c r="W38" s="47" t="str">
        <f t="shared" ref="W38:Z38" si="11">INDEX($R$32:$R$50,_xlfn.RANK.EQ(W50,$W$44:$Z$51,0))</f>
        <v>丁左近　華奈</v>
      </c>
      <c r="X38" s="47" t="str">
        <f t="shared" si="11"/>
        <v>安藤　凛</v>
      </c>
      <c r="Y38" s="47" t="str">
        <f t="shared" si="11"/>
        <v>田中　玲衣</v>
      </c>
      <c r="Z38" s="47" t="str">
        <f t="shared" si="11"/>
        <v>大野　愛季</v>
      </c>
      <c r="AA38" s="47"/>
      <c r="AC38" s="47"/>
      <c r="AD38" s="137"/>
      <c r="AE38" s="295"/>
    </row>
    <row r="39" spans="1:31" ht="21" customHeight="1" x14ac:dyDescent="0.15">
      <c r="A39" s="175">
        <v>19</v>
      </c>
      <c r="B39" s="255" t="s">
        <v>301</v>
      </c>
      <c r="C39" s="296">
        <f>IF(テーブル5[[#This Row],[氏　　名]]="","",INDEX($Q$32:$Q$50,MATCH(D39,$R$32:$R$50,0)))</f>
        <v>47034312</v>
      </c>
      <c r="D39" s="257" t="s">
        <v>333</v>
      </c>
      <c r="E39" s="256" t="str">
        <f>IF(テーブル5[[#This Row],[氏　　名]]="","",INDEX($P$32:$P$50,MATCH(D39,$R$32:$R$50,0)))</f>
        <v>済美</v>
      </c>
      <c r="F39" s="153">
        <f>IF(テーブル5[[#This Row],[氏　　名]]="","",INDEX($S$32:$S$50,MATCH(D39,$R$32:$R$50,0)))</f>
        <v>2</v>
      </c>
      <c r="G39" s="258">
        <v>100</v>
      </c>
      <c r="H39" s="162">
        <v>101.3</v>
      </c>
      <c r="I39" s="162">
        <v>99.4</v>
      </c>
      <c r="J39" s="162">
        <v>99.1</v>
      </c>
      <c r="K39" s="162">
        <v>101.1</v>
      </c>
      <c r="L39" s="163">
        <v>98.3</v>
      </c>
      <c r="M39" s="258">
        <f t="shared" si="5"/>
        <v>599.20000000000005</v>
      </c>
      <c r="N39" s="297">
        <f t="shared" si="6"/>
        <v>8</v>
      </c>
      <c r="O39" s="29">
        <v>6</v>
      </c>
      <c r="P39" s="295" t="s">
        <v>199</v>
      </c>
      <c r="Q39" s="47">
        <v>47034310</v>
      </c>
      <c r="R39" s="47" t="s">
        <v>255</v>
      </c>
      <c r="S39" s="47">
        <v>2</v>
      </c>
      <c r="T39" s="29" t="str">
        <f>P39&amp;1</f>
        <v>済美A1</v>
      </c>
      <c r="V39" s="29">
        <v>9</v>
      </c>
      <c r="W39" s="47" t="str">
        <f t="shared" ref="W39:Y39" si="12">INDEX($R$32:$R$50,_xlfn.RANK.EQ(W51,$W$44:$Z$51,0))</f>
        <v>木田　裕乃</v>
      </c>
      <c r="X39" s="47" t="str">
        <f t="shared" si="12"/>
        <v>杉下　百花</v>
      </c>
      <c r="Y39" s="47" t="str">
        <f t="shared" si="12"/>
        <v>澤田　茉利</v>
      </c>
      <c r="Z39" s="47"/>
      <c r="AA39" s="47"/>
      <c r="AC39" s="47"/>
      <c r="AD39" s="137"/>
      <c r="AE39" s="47"/>
    </row>
    <row r="40" spans="1:31" ht="21" customHeight="1" x14ac:dyDescent="0.15">
      <c r="A40" s="175">
        <v>13</v>
      </c>
      <c r="B40" s="255" t="s">
        <v>302</v>
      </c>
      <c r="C40" s="296">
        <f>IF(テーブル5[[#This Row],[氏　　名]]="","",INDEX($Q$32:$Q$50,MATCH(D40,$R$32:$R$50,0)))</f>
        <v>47034331</v>
      </c>
      <c r="D40" s="257" t="s">
        <v>267</v>
      </c>
      <c r="E40" s="256" t="str">
        <f>IF(テーブル5[[#This Row],[氏　　名]]="","",INDEX($P$32:$P$50,MATCH(D40,$R$32:$R$50,0)))</f>
        <v>大垣日大A</v>
      </c>
      <c r="F40" s="153">
        <f>IF(テーブル5[[#This Row],[氏　　名]]="","",INDEX($S$32:$S$50,MATCH(D40,$R$32:$R$50,0)))</f>
        <v>2</v>
      </c>
      <c r="G40" s="400">
        <v>102.5</v>
      </c>
      <c r="H40" s="162">
        <v>98</v>
      </c>
      <c r="I40" s="162">
        <v>99.3</v>
      </c>
      <c r="J40" s="162">
        <v>100.6</v>
      </c>
      <c r="K40" s="162">
        <v>101.4</v>
      </c>
      <c r="L40" s="163">
        <v>96.1</v>
      </c>
      <c r="M40" s="258">
        <f t="shared" si="5"/>
        <v>597.9</v>
      </c>
      <c r="N40" s="297">
        <f t="shared" si="6"/>
        <v>9</v>
      </c>
      <c r="O40" s="29">
        <v>4</v>
      </c>
      <c r="P40" s="295" t="s">
        <v>199</v>
      </c>
      <c r="Q40" s="47">
        <v>46033453</v>
      </c>
      <c r="R40" s="47" t="s">
        <v>256</v>
      </c>
      <c r="S40" s="47">
        <v>1</v>
      </c>
      <c r="T40" s="29" t="str">
        <f>P40&amp;2</f>
        <v>済美A2</v>
      </c>
      <c r="AC40" s="47"/>
      <c r="AD40" s="137"/>
      <c r="AE40" s="47"/>
    </row>
    <row r="41" spans="1:31" ht="21" customHeight="1" x14ac:dyDescent="0.15">
      <c r="A41" s="175">
        <v>11</v>
      </c>
      <c r="B41" s="255" t="s">
        <v>296</v>
      </c>
      <c r="C41" s="296" t="str">
        <f>IF(テーブル5[[#This Row],[氏　　名]]="","",INDEX($Q$32:$Q$50,MATCH(D41,$R$32:$R$50,0)))</f>
        <v>申請中</v>
      </c>
      <c r="D41" s="257" t="s">
        <v>326</v>
      </c>
      <c r="E41" s="256" t="str">
        <f>IF(テーブル5[[#This Row],[氏　　名]]="","",INDEX($P$32:$P$50,MATCH(D41,$R$32:$R$50,0)))</f>
        <v>鶯谷A</v>
      </c>
      <c r="F41" s="153">
        <f>IF(テーブル5[[#This Row],[氏　　名]]="","",INDEX($S$32:$S$50,MATCH(D41,$R$32:$R$50,0)))</f>
        <v>1</v>
      </c>
      <c r="G41" s="258">
        <v>90.2</v>
      </c>
      <c r="H41" s="162">
        <v>98.7</v>
      </c>
      <c r="I41" s="162">
        <v>100.6</v>
      </c>
      <c r="J41" s="162">
        <v>99.9</v>
      </c>
      <c r="K41" s="162">
        <v>101.5</v>
      </c>
      <c r="L41" s="163">
        <v>101.5</v>
      </c>
      <c r="M41" s="258">
        <f t="shared" si="5"/>
        <v>592.4</v>
      </c>
      <c r="N41" s="297">
        <f t="shared" si="6"/>
        <v>10</v>
      </c>
      <c r="O41" s="29">
        <v>5</v>
      </c>
      <c r="P41" s="295" t="s">
        <v>199</v>
      </c>
      <c r="Q41" s="47">
        <v>50036212</v>
      </c>
      <c r="R41" s="47" t="s">
        <v>257</v>
      </c>
      <c r="S41" s="47">
        <v>1</v>
      </c>
      <c r="T41" s="29" t="str">
        <f>P41&amp;3</f>
        <v>済美A3</v>
      </c>
      <c r="AC41" s="47"/>
      <c r="AD41" s="137"/>
      <c r="AE41" s="295"/>
    </row>
    <row r="42" spans="1:31" ht="21" customHeight="1" x14ac:dyDescent="0.15">
      <c r="A42" s="175">
        <v>5</v>
      </c>
      <c r="B42" s="255" t="s">
        <v>293</v>
      </c>
      <c r="C42" s="296">
        <f>IF(テーブル5[[#This Row],[氏　　名]]="","",INDEX($Q$32:$Q$50,MATCH(D42,$R$32:$R$50,0)))</f>
        <v>50036115</v>
      </c>
      <c r="D42" s="257" t="s">
        <v>322</v>
      </c>
      <c r="E42" s="256" t="str">
        <f>IF(テーブル5[[#This Row],[氏　　名]]="","",INDEX($P$32:$P$50,MATCH(D42,$R$32:$R$50,0)))</f>
        <v>鶯谷A</v>
      </c>
      <c r="F42" s="153">
        <f>IF(テーブル5[[#This Row],[氏　　名]]="","",INDEX($S$32:$S$50,MATCH(D42,$R$32:$R$50,0)))</f>
        <v>1</v>
      </c>
      <c r="G42" s="258">
        <v>96.2</v>
      </c>
      <c r="H42" s="162">
        <v>95.6</v>
      </c>
      <c r="I42" s="164">
        <v>100.3</v>
      </c>
      <c r="J42" s="162">
        <v>102.3</v>
      </c>
      <c r="K42" s="162">
        <v>99.2</v>
      </c>
      <c r="L42" s="163">
        <v>98.1</v>
      </c>
      <c r="M42" s="258">
        <f t="shared" si="5"/>
        <v>591.70000000000005</v>
      </c>
      <c r="N42" s="297">
        <f t="shared" si="6"/>
        <v>11</v>
      </c>
      <c r="O42" s="29">
        <v>0</v>
      </c>
      <c r="P42" s="295" t="s">
        <v>200</v>
      </c>
      <c r="Q42" s="47" t="s">
        <v>178</v>
      </c>
      <c r="R42" s="47" t="s">
        <v>258</v>
      </c>
      <c r="S42" s="47">
        <v>1</v>
      </c>
      <c r="T42" s="29" t="str">
        <f>P42&amp;1</f>
        <v>済美B1</v>
      </c>
      <c r="AC42" s="47"/>
      <c r="AD42" s="137"/>
      <c r="AE42" s="47"/>
    </row>
    <row r="43" spans="1:31" ht="21" customHeight="1" x14ac:dyDescent="0.15">
      <c r="A43" s="175">
        <v>7</v>
      </c>
      <c r="B43" s="255" t="s">
        <v>134</v>
      </c>
      <c r="C43" s="296">
        <f>IF(テーブル5[[#This Row],[氏　　名]]="","",INDEX($Q$32:$Q$50,MATCH(D43,$R$32:$R$50,0)))</f>
        <v>50036213</v>
      </c>
      <c r="D43" s="257" t="s">
        <v>323</v>
      </c>
      <c r="E43" s="256" t="str">
        <f>IF(テーブル5[[#This Row],[氏　　名]]="","",INDEX($P$32:$P$50,MATCH(D43,$R$32:$R$50,0)))</f>
        <v>済美</v>
      </c>
      <c r="F43" s="153">
        <f>IF(テーブル5[[#This Row],[氏　　名]]="","",INDEX($S$32:$S$50,MATCH(D43,$R$32:$R$50,0)))</f>
        <v>1</v>
      </c>
      <c r="G43" s="258">
        <v>96.1</v>
      </c>
      <c r="H43" s="162">
        <v>97</v>
      </c>
      <c r="I43" s="162">
        <v>98.1</v>
      </c>
      <c r="J43" s="162">
        <v>98.9</v>
      </c>
      <c r="K43" s="162">
        <v>94.1</v>
      </c>
      <c r="L43" s="163">
        <v>100.9</v>
      </c>
      <c r="M43" s="258">
        <f t="shared" si="5"/>
        <v>585.1</v>
      </c>
      <c r="N43" s="297">
        <f t="shared" si="6"/>
        <v>12</v>
      </c>
      <c r="O43" s="29">
        <v>4</v>
      </c>
      <c r="P43" s="295" t="s">
        <v>200</v>
      </c>
      <c r="Q43" s="47">
        <v>50036229</v>
      </c>
      <c r="R43" s="47" t="s">
        <v>259</v>
      </c>
      <c r="S43" s="47">
        <v>1</v>
      </c>
      <c r="T43" s="29" t="str">
        <f>P43&amp;2</f>
        <v>済美B2</v>
      </c>
    </row>
    <row r="44" spans="1:31" ht="21" customHeight="1" x14ac:dyDescent="0.15">
      <c r="A44" s="175">
        <v>15</v>
      </c>
      <c r="B44" s="255" t="s">
        <v>136</v>
      </c>
      <c r="C44" s="296">
        <f>IF(テーブル5[[#This Row],[氏　　名]]="","",INDEX($Q$32:$Q$50,MATCH(D44,$R$32:$R$50,0)))</f>
        <v>50037585</v>
      </c>
      <c r="D44" s="257" t="s">
        <v>321</v>
      </c>
      <c r="E44" s="256" t="str">
        <f>IF(テーブル5[[#This Row],[氏　　名]]="","",INDEX($P$32:$P$50,MATCH(D44,$R$32:$R$50,0)))</f>
        <v>関有知A</v>
      </c>
      <c r="F44" s="153">
        <f>IF(テーブル5[[#This Row],[氏　　名]]="","",INDEX($S$32:$S$50,MATCH(D44,$R$32:$R$50,0)))</f>
        <v>1</v>
      </c>
      <c r="G44" s="258">
        <v>101.2</v>
      </c>
      <c r="H44" s="162">
        <v>97.3</v>
      </c>
      <c r="I44" s="162">
        <v>95.9</v>
      </c>
      <c r="J44" s="162">
        <v>95.1</v>
      </c>
      <c r="K44" s="162">
        <v>95.2</v>
      </c>
      <c r="L44" s="163">
        <v>94.8</v>
      </c>
      <c r="M44" s="258">
        <f t="shared" si="5"/>
        <v>579.5</v>
      </c>
      <c r="N44" s="297">
        <f t="shared" si="6"/>
        <v>13</v>
      </c>
      <c r="O44" s="29">
        <v>5</v>
      </c>
      <c r="P44" s="295" t="s">
        <v>200</v>
      </c>
      <c r="Q44" s="47">
        <v>50036015</v>
      </c>
      <c r="R44" s="47" t="s">
        <v>260</v>
      </c>
      <c r="S44" s="47">
        <v>1</v>
      </c>
      <c r="T44" s="29" t="str">
        <f>P44&amp;3</f>
        <v>済美B3</v>
      </c>
      <c r="W44" s="29">
        <v>5.7908290271180829E-2</v>
      </c>
    </row>
    <row r="45" spans="1:31" ht="21" customHeight="1" x14ac:dyDescent="0.15">
      <c r="A45" s="175">
        <v>9</v>
      </c>
      <c r="B45" s="255" t="s">
        <v>297</v>
      </c>
      <c r="C45" s="296">
        <f>IF(テーブル5[[#This Row],[氏　　名]]="","",INDEX($Q$32:$Q$50,MATCH(D45,$R$32:$R$50,0)))</f>
        <v>50037409</v>
      </c>
      <c r="D45" s="257" t="s">
        <v>325</v>
      </c>
      <c r="E45" s="256" t="str">
        <f>IF(テーブル5[[#This Row],[氏　　名]]="","",INDEX($P$32:$P$50,MATCH(D45,$R$32:$R$50,0)))</f>
        <v>関有知A</v>
      </c>
      <c r="F45" s="153">
        <f>IF(テーブル5[[#This Row],[氏　　名]]="","",INDEX($S$32:$S$50,MATCH(D45,$R$32:$R$50,0)))</f>
        <v>1</v>
      </c>
      <c r="G45" s="161">
        <v>93.8</v>
      </c>
      <c r="H45" s="162">
        <v>91</v>
      </c>
      <c r="I45" s="162">
        <v>93.6</v>
      </c>
      <c r="J45" s="162">
        <v>98.3</v>
      </c>
      <c r="K45" s="162">
        <v>92.5</v>
      </c>
      <c r="L45" s="163">
        <v>98.1</v>
      </c>
      <c r="M45" s="258">
        <f t="shared" si="5"/>
        <v>567.29999999999995</v>
      </c>
      <c r="N45" s="297">
        <f t="shared" si="6"/>
        <v>14</v>
      </c>
      <c r="O45" s="29">
        <v>4</v>
      </c>
      <c r="P45" s="295" t="s">
        <v>251</v>
      </c>
      <c r="Q45" s="47">
        <v>47034312</v>
      </c>
      <c r="R45" s="47" t="s">
        <v>261</v>
      </c>
      <c r="S45" s="47">
        <v>2</v>
      </c>
      <c r="T45" s="29" t="str">
        <f t="shared" si="8"/>
        <v>済美1</v>
      </c>
      <c r="W45" s="29">
        <v>0.75935571799041868</v>
      </c>
    </row>
    <row r="46" spans="1:31" ht="21" customHeight="1" x14ac:dyDescent="0.15">
      <c r="A46" s="175">
        <v>1</v>
      </c>
      <c r="B46" s="255" t="s">
        <v>130</v>
      </c>
      <c r="C46" s="296">
        <f>IF(テーブル5[[#This Row],[氏　　名]]="","",INDEX($Q$32:$Q$50,MATCH(D46,$R$32:$R$50,0)))</f>
        <v>50037020</v>
      </c>
      <c r="D46" s="257" t="s">
        <v>270</v>
      </c>
      <c r="E46" s="342" t="str">
        <f>IF(テーブル5[[#This Row],[氏　　名]]="","",INDEX($P$32:$P$50,MATCH(D46,$R$32:$R$50,0)))</f>
        <v>大垣日大</v>
      </c>
      <c r="F46" s="343">
        <f>IF(テーブル5[[#This Row],[氏　　名]]="","",INDEX($S$32:$S$50,MATCH(D46,$R$32:$R$50,0)))</f>
        <v>1</v>
      </c>
      <c r="G46" s="161">
        <v>98.8</v>
      </c>
      <c r="H46" s="162">
        <v>94.6</v>
      </c>
      <c r="I46" s="162">
        <v>85.4</v>
      </c>
      <c r="J46" s="162">
        <v>92.8</v>
      </c>
      <c r="K46" s="162">
        <v>99.7</v>
      </c>
      <c r="L46" s="163">
        <v>95.4</v>
      </c>
      <c r="M46" s="161">
        <f t="shared" si="5"/>
        <v>566.69999999999993</v>
      </c>
      <c r="N46" s="297">
        <f t="shared" si="6"/>
        <v>15</v>
      </c>
      <c r="O46" s="29">
        <v>4</v>
      </c>
      <c r="P46" s="295" t="s">
        <v>251</v>
      </c>
      <c r="Q46" s="47">
        <v>50036213</v>
      </c>
      <c r="R46" s="47" t="s">
        <v>262</v>
      </c>
      <c r="S46" s="47">
        <v>1</v>
      </c>
      <c r="T46" s="29" t="str">
        <f>P46&amp;1</f>
        <v>済美1</v>
      </c>
      <c r="W46" s="29">
        <v>0.57943950723153292</v>
      </c>
    </row>
    <row r="47" spans="1:31" ht="21" customHeight="1" x14ac:dyDescent="0.15">
      <c r="A47" s="175">
        <v>2</v>
      </c>
      <c r="B47" s="255" t="s">
        <v>181</v>
      </c>
      <c r="C47" s="296">
        <f>IF(テーブル5[[#This Row],[氏　　名]]="","",INDEX($Q$32:$Q$50,MATCH(D47,$R$32:$R$50,0)))</f>
        <v>50037258</v>
      </c>
      <c r="D47" s="257" t="s">
        <v>319</v>
      </c>
      <c r="E47" s="342" t="str">
        <f>IF(テーブル5[[#This Row],[氏　　名]]="","",INDEX($P$32:$P$50,MATCH(D47,$R$32:$R$50,0)))</f>
        <v>関有知</v>
      </c>
      <c r="F47" s="343">
        <f>IF(テーブル5[[#This Row],[氏　　名]]="","",INDEX($S$32:$S$50,MATCH(D47,$R$32:$R$50,0)))</f>
        <v>1</v>
      </c>
      <c r="G47" s="161">
        <v>95.3</v>
      </c>
      <c r="H47" s="162">
        <v>97.4</v>
      </c>
      <c r="I47" s="162">
        <v>91.6</v>
      </c>
      <c r="J47" s="162">
        <v>95.9</v>
      </c>
      <c r="K47" s="162">
        <v>85.8</v>
      </c>
      <c r="L47" s="163">
        <v>86</v>
      </c>
      <c r="M47" s="161">
        <f t="shared" si="5"/>
        <v>552</v>
      </c>
      <c r="N47" s="297">
        <f t="shared" si="6"/>
        <v>16</v>
      </c>
      <c r="O47" s="29">
        <v>4</v>
      </c>
      <c r="P47" s="295" t="s">
        <v>202</v>
      </c>
      <c r="Q47" s="47">
        <v>47034331</v>
      </c>
      <c r="R47" s="47" t="s">
        <v>267</v>
      </c>
      <c r="S47" s="47">
        <v>2</v>
      </c>
      <c r="T47" s="29" t="str">
        <f t="shared" si="8"/>
        <v>大垣日大A1</v>
      </c>
      <c r="U47" s="29" t="s">
        <v>289</v>
      </c>
      <c r="W47" s="29">
        <v>0.8050411989754489</v>
      </c>
    </row>
    <row r="48" spans="1:31" ht="21" customHeight="1" x14ac:dyDescent="0.15">
      <c r="A48" s="175">
        <v>18</v>
      </c>
      <c r="B48" s="255" t="s">
        <v>298</v>
      </c>
      <c r="C48" s="296">
        <f>IF(テーブル5[[#This Row],[氏　　名]]="","",INDEX($Q$32:$Q$50,MATCH(D48,$R$32:$R$50,0)))</f>
        <v>47034332</v>
      </c>
      <c r="D48" s="257" t="s">
        <v>268</v>
      </c>
      <c r="E48" s="342" t="str">
        <f>IF(テーブル5[[#This Row],[氏　　名]]="","",INDEX($P$32:$P$50,MATCH(D48,$R$32:$R$50,0)))</f>
        <v>大垣日大A</v>
      </c>
      <c r="F48" s="343">
        <f>IF(テーブル5[[#This Row],[氏　　名]]="","",INDEX($S$32:$S$50,MATCH(D48,$R$32:$R$50,0)))</f>
        <v>2</v>
      </c>
      <c r="G48" s="161">
        <v>86.9</v>
      </c>
      <c r="H48" s="162">
        <v>86.5</v>
      </c>
      <c r="I48" s="162">
        <v>85.4</v>
      </c>
      <c r="J48" s="162">
        <v>87.9</v>
      </c>
      <c r="K48" s="162">
        <v>97</v>
      </c>
      <c r="L48" s="163">
        <v>90.1</v>
      </c>
      <c r="M48" s="161">
        <f t="shared" si="5"/>
        <v>533.80000000000007</v>
      </c>
      <c r="N48" s="297">
        <f t="shared" si="6"/>
        <v>17</v>
      </c>
      <c r="O48" s="29">
        <v>3</v>
      </c>
      <c r="P48" s="295" t="s">
        <v>202</v>
      </c>
      <c r="Q48" s="47">
        <v>47034332</v>
      </c>
      <c r="R48" s="47" t="s">
        <v>268</v>
      </c>
      <c r="S48" s="47">
        <v>2</v>
      </c>
      <c r="T48" s="29" t="str">
        <f>P48&amp;2</f>
        <v>大垣日大A2</v>
      </c>
      <c r="U48" s="29" t="s">
        <v>288</v>
      </c>
      <c r="W48" s="29">
        <v>0.94501699349366286</v>
      </c>
      <c r="X48" s="29">
        <v>0.84391859765721078</v>
      </c>
      <c r="Y48" s="29">
        <v>0.17487832810170723</v>
      </c>
      <c r="Z48" s="29">
        <v>0.74614409936003778</v>
      </c>
    </row>
    <row r="49" spans="1:26" ht="21" customHeight="1" x14ac:dyDescent="0.15">
      <c r="A49" s="175">
        <v>10</v>
      </c>
      <c r="B49" s="255" t="s">
        <v>135</v>
      </c>
      <c r="C49" s="296">
        <f>IF(テーブル5[[#This Row],[氏　　名]]="","",INDEX($Q$32:$Q$50,MATCH(D49,$R$32:$R$50,0)))</f>
        <v>50035616</v>
      </c>
      <c r="D49" s="344" t="s">
        <v>269</v>
      </c>
      <c r="E49" s="342" t="str">
        <f>IF(テーブル5[[#This Row],[氏　　名]]="","",INDEX($P$32:$P$50,MATCH(D49,$R$32:$R$50,0)))</f>
        <v>大垣日大A</v>
      </c>
      <c r="F49" s="343">
        <f>IF(テーブル5[[#This Row],[氏　　名]]="","",INDEX($S$32:$S$50,MATCH(D49,$R$32:$R$50,0)))</f>
        <v>2</v>
      </c>
      <c r="G49" s="161">
        <v>82.3</v>
      </c>
      <c r="H49" s="162">
        <v>81.599999999999994</v>
      </c>
      <c r="I49" s="162">
        <v>88.1</v>
      </c>
      <c r="J49" s="162">
        <v>91.9</v>
      </c>
      <c r="K49" s="162">
        <v>91.7</v>
      </c>
      <c r="L49" s="163">
        <v>94.8</v>
      </c>
      <c r="M49" s="161">
        <f t="shared" si="5"/>
        <v>530.4</v>
      </c>
      <c r="N49" s="297">
        <f t="shared" si="6"/>
        <v>18</v>
      </c>
      <c r="O49" s="29">
        <v>2</v>
      </c>
      <c r="P49" s="295" t="s">
        <v>202</v>
      </c>
      <c r="Q49" s="47">
        <v>50035616</v>
      </c>
      <c r="R49" s="47" t="s">
        <v>269</v>
      </c>
      <c r="S49" s="47">
        <v>2</v>
      </c>
      <c r="T49" s="29" t="str">
        <f>P49&amp;3</f>
        <v>大垣日大A3</v>
      </c>
      <c r="U49" s="29" t="s">
        <v>288</v>
      </c>
      <c r="W49" s="29">
        <v>0.12844289308250012</v>
      </c>
      <c r="X49" s="29">
        <v>9.3725406508404663E-2</v>
      </c>
      <c r="Y49" s="29">
        <v>0.52207009160630324</v>
      </c>
      <c r="Z49" s="29">
        <v>0.87174907127517953</v>
      </c>
    </row>
    <row r="50" spans="1:26" ht="21" customHeight="1" thickBot="1" x14ac:dyDescent="0.2">
      <c r="A50" s="175">
        <v>16</v>
      </c>
      <c r="B50" s="361" t="s">
        <v>137</v>
      </c>
      <c r="C50" s="362" t="str">
        <f>IF(テーブル5[[#This Row],[氏　　名]]="","",INDEX($Q$32:$Q$50,MATCH(D50,$R$32:$R$50,0)))</f>
        <v>申請中</v>
      </c>
      <c r="D50" s="363" t="s">
        <v>330</v>
      </c>
      <c r="E50" s="364" t="str">
        <f>IF(テーブル5[[#This Row],[氏　　名]]="","",INDEX($P$32:$P$50,MATCH(D50,$R$32:$R$50,0)))</f>
        <v>鶯谷A</v>
      </c>
      <c r="F50" s="145">
        <f>IF(テーブル5[[#This Row],[氏　　名]]="","",INDEX($S$32:$S$50,MATCH(D50,$R$32:$R$50,0)))</f>
        <v>1</v>
      </c>
      <c r="G50" s="365">
        <v>80.7</v>
      </c>
      <c r="H50" s="366">
        <v>82.5</v>
      </c>
      <c r="I50" s="366">
        <v>90.7</v>
      </c>
      <c r="J50" s="366">
        <v>83.7</v>
      </c>
      <c r="K50" s="366">
        <v>84.6</v>
      </c>
      <c r="L50" s="367">
        <v>79.2</v>
      </c>
      <c r="M50" s="365">
        <f t="shared" si="5"/>
        <v>501.39999999999992</v>
      </c>
      <c r="N50" s="298">
        <f t="shared" si="6"/>
        <v>19</v>
      </c>
      <c r="O50" s="29">
        <v>0</v>
      </c>
      <c r="P50" s="295" t="s">
        <v>271</v>
      </c>
      <c r="Q50" s="47">
        <v>50037020</v>
      </c>
      <c r="R50" s="47" t="s">
        <v>270</v>
      </c>
      <c r="S50" s="47">
        <v>1</v>
      </c>
      <c r="T50" s="29" t="str">
        <f t="shared" si="8"/>
        <v>大垣日大1</v>
      </c>
      <c r="U50" s="29" t="s">
        <v>303</v>
      </c>
      <c r="W50" s="29">
        <v>0.3521129978019516</v>
      </c>
      <c r="X50" s="29">
        <v>0.88607749928163471</v>
      </c>
      <c r="Y50" s="29">
        <v>0.74158472461979796</v>
      </c>
      <c r="Z50" s="29">
        <v>0.4408646862881056</v>
      </c>
    </row>
    <row r="51" spans="1:26" x14ac:dyDescent="0.15">
      <c r="A51" s="340"/>
      <c r="B51" s="354"/>
      <c r="C51" s="354"/>
      <c r="D51" s="355"/>
      <c r="E51" s="42"/>
      <c r="F51" s="42"/>
      <c r="G51" s="356"/>
      <c r="H51" s="357"/>
      <c r="I51" s="357"/>
      <c r="J51" s="357"/>
      <c r="K51" s="357"/>
      <c r="L51" s="358"/>
      <c r="M51" s="359"/>
      <c r="N51" s="360"/>
      <c r="P51" s="29"/>
      <c r="W51" s="29">
        <v>0.53927377616531302</v>
      </c>
      <c r="X51" s="29">
        <v>0.56155984986180252</v>
      </c>
      <c r="Y51" s="29">
        <v>0.9236478266894862</v>
      </c>
    </row>
    <row r="52" spans="1:26" ht="15" customHeight="1" x14ac:dyDescent="0.15">
      <c r="A52" s="340"/>
      <c r="B52" s="340"/>
      <c r="C52" s="340"/>
      <c r="D52" s="340"/>
      <c r="E52" s="68"/>
      <c r="F52" s="68"/>
      <c r="G52" s="345"/>
      <c r="H52" s="346"/>
      <c r="I52" s="346"/>
      <c r="J52" s="346"/>
      <c r="K52" s="346"/>
      <c r="L52" s="347"/>
      <c r="M52" s="191"/>
      <c r="N52" s="348"/>
      <c r="P52" s="29"/>
    </row>
    <row r="53" spans="1:26" ht="15" customHeight="1" x14ac:dyDescent="0.15">
      <c r="D53" s="68"/>
      <c r="F53" s="68"/>
      <c r="G53" s="68"/>
      <c r="H53" s="68"/>
      <c r="I53" s="68"/>
      <c r="K53" s="68"/>
      <c r="L53" s="68"/>
      <c r="M53" s="68"/>
      <c r="N53" s="68"/>
      <c r="P53" s="29"/>
    </row>
    <row r="54" spans="1:26" ht="15" customHeight="1" x14ac:dyDescent="0.15">
      <c r="D54" s="68"/>
      <c r="G54" s="68"/>
      <c r="H54" s="68"/>
      <c r="I54" s="68"/>
      <c r="J54" s="68"/>
      <c r="K54" s="68"/>
      <c r="L54" s="68"/>
      <c r="M54" s="68"/>
      <c r="N54" s="68"/>
      <c r="P54" s="29"/>
    </row>
    <row r="55" spans="1:26" ht="17.25" customHeight="1" x14ac:dyDescent="0.15">
      <c r="D55" s="68"/>
      <c r="M55" s="29"/>
      <c r="N55" s="29"/>
    </row>
    <row r="56" spans="1:26" ht="17.25" customHeight="1" x14ac:dyDescent="0.15">
      <c r="M56" s="29"/>
      <c r="N56" s="29"/>
    </row>
    <row r="57" spans="1:26" ht="17.25" customHeight="1" x14ac:dyDescent="0.15">
      <c r="M57" s="29"/>
      <c r="N57" s="29"/>
    </row>
    <row r="58" spans="1:26" ht="17.25" customHeight="1" x14ac:dyDescent="0.15">
      <c r="M58" s="29"/>
      <c r="N58" s="29"/>
    </row>
    <row r="59" spans="1:26" ht="17.25" customHeight="1" x14ac:dyDescent="0.15">
      <c r="M59" s="29"/>
      <c r="N59" s="29"/>
    </row>
    <row r="60" spans="1:26" ht="17.25" customHeight="1" x14ac:dyDescent="0.15">
      <c r="M60" s="29"/>
      <c r="N60" s="29"/>
    </row>
    <row r="61" spans="1:26" ht="17.25" customHeight="1" x14ac:dyDescent="0.15">
      <c r="M61" s="29"/>
      <c r="N61" s="29"/>
    </row>
    <row r="62" spans="1:26" ht="17.25" customHeight="1" x14ac:dyDescent="0.15">
      <c r="M62" s="29"/>
      <c r="N62" s="29"/>
    </row>
    <row r="63" spans="1:26" ht="17.25" customHeight="1" x14ac:dyDescent="0.15">
      <c r="M63" s="29"/>
      <c r="N63" s="29"/>
    </row>
    <row r="64" spans="1:26" ht="17.25" customHeight="1" x14ac:dyDescent="0.15">
      <c r="M64" s="29"/>
      <c r="N64" s="29"/>
    </row>
    <row r="65" spans="4:14" ht="17.25" customHeight="1" x14ac:dyDescent="0.15">
      <c r="M65" s="29"/>
      <c r="N65" s="29"/>
    </row>
    <row r="66" spans="4:14" x14ac:dyDescent="0.15">
      <c r="M66" s="29"/>
      <c r="N66" s="29"/>
    </row>
    <row r="67" spans="4:14" x14ac:dyDescent="0.15">
      <c r="M67" s="29"/>
      <c r="N67" s="29"/>
    </row>
    <row r="68" spans="4:14" x14ac:dyDescent="0.15">
      <c r="M68" s="29"/>
      <c r="N68" s="29"/>
    </row>
    <row r="69" spans="4:14" x14ac:dyDescent="0.15">
      <c r="M69" s="29"/>
      <c r="N69" s="29"/>
    </row>
    <row r="70" spans="4:14" x14ac:dyDescent="0.15">
      <c r="M70" s="29"/>
      <c r="N70" s="29"/>
    </row>
    <row r="71" spans="4:14" x14ac:dyDescent="0.15">
      <c r="M71" s="29"/>
      <c r="N71" s="29"/>
    </row>
    <row r="73" spans="4:14" x14ac:dyDescent="0.15">
      <c r="G73" s="493"/>
      <c r="H73" s="493"/>
      <c r="I73" s="493"/>
      <c r="J73" s="493"/>
    </row>
    <row r="74" spans="4:14" x14ac:dyDescent="0.15">
      <c r="G74" s="493"/>
      <c r="H74" s="493"/>
      <c r="I74" s="493"/>
      <c r="J74" s="493"/>
    </row>
    <row r="75" spans="4:14" x14ac:dyDescent="0.15">
      <c r="G75" s="493"/>
      <c r="H75" s="493"/>
      <c r="I75" s="493"/>
      <c r="J75" s="493"/>
    </row>
    <row r="76" spans="4:14" x14ac:dyDescent="0.15">
      <c r="D76" s="43"/>
    </row>
  </sheetData>
  <sortState xmlns:xlrd2="http://schemas.microsoft.com/office/spreadsheetml/2017/richdata2" ref="B32:N50">
    <sortCondition ref="B32:B50"/>
  </sortState>
  <mergeCells count="4">
    <mergeCell ref="C1:L3"/>
    <mergeCell ref="G73:J73"/>
    <mergeCell ref="G74:J74"/>
    <mergeCell ref="G75:J75"/>
  </mergeCells>
  <phoneticPr fontId="1"/>
  <conditionalFormatting sqref="M13:M29">
    <cfRule type="cellIs" dxfId="12" priority="1" stopIfTrue="1" operator="greaterThan">
      <formula>623.9</formula>
    </cfRule>
  </conditionalFormatting>
  <conditionalFormatting sqref="M32:M52">
    <cfRule type="cellIs" dxfId="11" priority="7" stopIfTrue="1" operator="greaterThan">
      <formula>415.9</formula>
    </cfRule>
  </conditionalFormatting>
  <printOptions horizontalCentered="1"/>
  <pageMargins left="0" right="0" top="0.39370078740157483" bottom="0" header="0" footer="0"/>
  <pageSetup paperSize="9" scale="79" orientation="portrait" r:id="rId1"/>
  <headerFooter alignWithMargins="0"/>
  <rowBreaks count="1" manualBreakCount="1">
    <brk id="29" min="1" max="13" man="1"/>
  </rowBreaks>
  <ignoredErrors>
    <ignoredError sqref="T20" formula="1"/>
  </ignoredErrors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rgb="FFFFFF00"/>
  </sheetPr>
  <dimension ref="A1:AD58"/>
  <sheetViews>
    <sheetView view="pageBreakPreview" zoomScale="70" zoomScaleNormal="100" zoomScaleSheetLayoutView="70" workbookViewId="0">
      <selection activeCell="S44" sqref="S44"/>
    </sheetView>
  </sheetViews>
  <sheetFormatPr defaultColWidth="9" defaultRowHeight="18.75" x14ac:dyDescent="0.15"/>
  <cols>
    <col min="1" max="1" width="6.5" style="29" customWidth="1"/>
    <col min="2" max="2" width="11.875" style="29" hidden="1" customWidth="1"/>
    <col min="3" max="3" width="7.5" style="29" customWidth="1"/>
    <col min="4" max="4" width="11.75" style="29" customWidth="1"/>
    <col min="5" max="5" width="14.625" style="29" customWidth="1"/>
    <col min="6" max="6" width="10.625" style="29" bestFit="1" customWidth="1"/>
    <col min="7" max="7" width="6.5" style="29" customWidth="1"/>
    <col min="8" max="10" width="5.375" style="29" customWidth="1"/>
    <col min="11" max="11" width="5.375" style="65" customWidth="1"/>
    <col min="12" max="12" width="5.375" style="196" customWidth="1"/>
    <col min="13" max="13" width="5.375" style="65" customWidth="1"/>
    <col min="14" max="14" width="8.375" style="29" customWidth="1"/>
    <col min="15" max="15" width="6.5" style="29" customWidth="1"/>
    <col min="16" max="16" width="5.125" style="29" bestFit="1" customWidth="1"/>
    <col min="17" max="17" width="2.625" style="29" customWidth="1"/>
    <col min="18" max="18" width="11.125" style="29" customWidth="1"/>
    <col min="19" max="19" width="10.75" style="65" bestFit="1" customWidth="1"/>
    <col min="20" max="20" width="12.625" style="43" customWidth="1"/>
    <col min="21" max="21" width="5.5" style="29" bestFit="1" customWidth="1"/>
    <col min="22" max="22" width="12.5" style="29" bestFit="1" customWidth="1"/>
    <col min="23" max="23" width="9.625" style="29" customWidth="1"/>
    <col min="24" max="24" width="8.125" style="29" customWidth="1"/>
    <col min="25" max="27" width="10.5" style="29" customWidth="1"/>
    <col min="28" max="28" width="11.125" style="29" customWidth="1"/>
    <col min="29" max="29" width="10.125" style="29" customWidth="1"/>
    <col min="30" max="16384" width="9" style="29"/>
  </cols>
  <sheetData>
    <row r="1" spans="1:30" ht="9" customHeight="1" x14ac:dyDescent="0.15">
      <c r="D1" s="491" t="s">
        <v>156</v>
      </c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</row>
    <row r="2" spans="1:30" ht="9" customHeight="1" x14ac:dyDescent="0.15"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</row>
    <row r="3" spans="1:30" ht="9" customHeight="1" x14ac:dyDescent="0.15"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</row>
    <row r="4" spans="1:30" ht="8.25" customHeight="1" x14ac:dyDescent="0.15">
      <c r="C4" s="31"/>
      <c r="D4" s="31"/>
      <c r="E4" s="31"/>
      <c r="F4" s="31"/>
      <c r="G4" s="31"/>
      <c r="H4" s="31"/>
      <c r="I4" s="31"/>
      <c r="J4" s="31"/>
      <c r="K4" s="31"/>
      <c r="L4" s="195"/>
    </row>
    <row r="5" spans="1:30" x14ac:dyDescent="0.15">
      <c r="D5" s="66">
        <v>46313</v>
      </c>
      <c r="E5" s="67">
        <f>WEEKDAY(D5)</f>
        <v>1</v>
      </c>
      <c r="F5" s="43" t="s">
        <v>102</v>
      </c>
      <c r="G5" s="43"/>
      <c r="J5" s="65"/>
    </row>
    <row r="6" spans="1:30" ht="17.25" customHeight="1" x14ac:dyDescent="0.15">
      <c r="K6" s="29"/>
      <c r="L6" s="197"/>
      <c r="M6" s="29"/>
    </row>
    <row r="7" spans="1:30" ht="15" customHeight="1" x14ac:dyDescent="0.15">
      <c r="B7" s="80"/>
      <c r="C7" s="80"/>
      <c r="D7" s="29" t="s">
        <v>95</v>
      </c>
      <c r="E7" s="43" t="s">
        <v>96</v>
      </c>
      <c r="H7" s="29" t="s">
        <v>97</v>
      </c>
      <c r="J7" s="29" t="s">
        <v>92</v>
      </c>
      <c r="K7" s="29"/>
      <c r="L7" s="68"/>
      <c r="M7" s="68"/>
      <c r="N7" s="68"/>
      <c r="P7" s="65"/>
    </row>
    <row r="8" spans="1:30" ht="15" customHeight="1" x14ac:dyDescent="0.15">
      <c r="B8" s="80"/>
      <c r="C8" s="80"/>
      <c r="D8" s="29" t="s">
        <v>67</v>
      </c>
      <c r="E8" s="29" t="s">
        <v>93</v>
      </c>
      <c r="H8" s="29" t="s">
        <v>160</v>
      </c>
      <c r="J8" s="29" t="s">
        <v>161</v>
      </c>
      <c r="K8" s="194"/>
      <c r="L8" s="68"/>
      <c r="M8" s="68"/>
      <c r="N8" s="68"/>
      <c r="P8" s="65"/>
    </row>
    <row r="9" spans="1:30" ht="15" customHeight="1" x14ac:dyDescent="0.15">
      <c r="B9" s="80"/>
      <c r="C9" s="80"/>
      <c r="D9" s="29" t="s">
        <v>83</v>
      </c>
      <c r="E9" s="29" t="s">
        <v>94</v>
      </c>
      <c r="M9" s="68"/>
      <c r="N9" s="68"/>
      <c r="P9" s="65"/>
    </row>
    <row r="10" spans="1:30" ht="15" customHeight="1" x14ac:dyDescent="0.15">
      <c r="K10" s="29"/>
      <c r="L10" s="29"/>
      <c r="M10" s="29"/>
      <c r="O10" s="65"/>
      <c r="Q10" s="65"/>
    </row>
    <row r="11" spans="1:30" ht="19.5" thickBot="1" x14ac:dyDescent="0.2">
      <c r="E11" s="29" t="s">
        <v>10</v>
      </c>
      <c r="K11" s="29"/>
      <c r="L11" s="65"/>
      <c r="N11" s="198"/>
      <c r="O11" s="65"/>
      <c r="P11" s="65"/>
      <c r="Q11" s="65"/>
      <c r="R11" s="29" t="s">
        <v>120</v>
      </c>
    </row>
    <row r="12" spans="1:30" ht="21" customHeight="1" thickBot="1" x14ac:dyDescent="0.2">
      <c r="A12" s="95" t="s">
        <v>118</v>
      </c>
      <c r="B12" s="29" t="s">
        <v>119</v>
      </c>
      <c r="C12" s="69" t="s">
        <v>113</v>
      </c>
      <c r="D12" s="70" t="s">
        <v>115</v>
      </c>
      <c r="E12" s="71" t="s">
        <v>1</v>
      </c>
      <c r="F12" s="72" t="s">
        <v>2</v>
      </c>
      <c r="G12" s="72" t="s">
        <v>116</v>
      </c>
      <c r="H12" s="75" t="s">
        <v>107</v>
      </c>
      <c r="I12" s="71" t="s">
        <v>108</v>
      </c>
      <c r="J12" s="71" t="s">
        <v>109</v>
      </c>
      <c r="K12" s="71" t="s">
        <v>110</v>
      </c>
      <c r="L12" s="71" t="s">
        <v>111</v>
      </c>
      <c r="M12" s="73" t="s">
        <v>112</v>
      </c>
      <c r="N12" s="100" t="s">
        <v>3</v>
      </c>
      <c r="O12" s="76" t="s">
        <v>4</v>
      </c>
      <c r="P12" s="100" t="s">
        <v>117</v>
      </c>
      <c r="R12" s="47" t="s">
        <v>122</v>
      </c>
      <c r="S12" s="137" t="s">
        <v>115</v>
      </c>
      <c r="T12" s="295" t="s">
        <v>121</v>
      </c>
      <c r="U12" s="47" t="s">
        <v>116</v>
      </c>
      <c r="X12" s="47" t="s">
        <v>113</v>
      </c>
      <c r="Y12" s="47" t="s">
        <v>125</v>
      </c>
      <c r="Z12" s="47" t="s">
        <v>126</v>
      </c>
      <c r="AA12" s="47" t="s">
        <v>127</v>
      </c>
      <c r="AB12" s="47" t="s">
        <v>128</v>
      </c>
      <c r="AC12" s="47" t="s">
        <v>158</v>
      </c>
      <c r="AD12" s="47"/>
    </row>
    <row r="13" spans="1:30" ht="20.25" customHeight="1" x14ac:dyDescent="0.15">
      <c r="A13" s="98">
        <v>10</v>
      </c>
      <c r="B13" s="29" t="e">
        <f>#REF!</f>
        <v>#REF!</v>
      </c>
      <c r="C13" s="437" t="s">
        <v>179</v>
      </c>
      <c r="D13" s="471">
        <f>IF(テーブル6[[#This Row],[氏　　名]]="","",INDEX($S$13:$S$25,MATCH(E13,$T$13:$T$25,0)))</f>
        <v>45031949</v>
      </c>
      <c r="E13" s="472" t="s">
        <v>342</v>
      </c>
      <c r="F13" s="439" t="str">
        <f>IF(テーブル6[[#This Row],[氏　　名]]="","",INDEX($R$13:$R$25,MATCH(E13,$T$13:$T$25,0)))</f>
        <v>済美A</v>
      </c>
      <c r="G13" s="473">
        <f>IF(テーブル6[[#This Row],[氏　　名]]="","",INDEX($U$13:$U$25,MATCH(E13,$T$13:$T$25,0)))</f>
        <v>2</v>
      </c>
      <c r="H13" s="474">
        <v>92</v>
      </c>
      <c r="I13" s="475">
        <v>95</v>
      </c>
      <c r="J13" s="475">
        <v>86</v>
      </c>
      <c r="K13" s="475">
        <v>93</v>
      </c>
      <c r="L13" s="476">
        <v>91</v>
      </c>
      <c r="M13" s="477">
        <v>86</v>
      </c>
      <c r="N13" s="478">
        <f t="shared" ref="N13:N25" si="0">IF(H13="","",SUM(H13:M13))</f>
        <v>543</v>
      </c>
      <c r="O13" s="479">
        <f t="shared" ref="O13:O25" si="1">IF(N13="","",RANK(N13,$N$13:$N$25))</f>
        <v>1</v>
      </c>
      <c r="P13" s="480">
        <v>6</v>
      </c>
      <c r="R13" s="47" t="s">
        <v>220</v>
      </c>
      <c r="S13" s="137">
        <v>47034315</v>
      </c>
      <c r="T13" s="295" t="s">
        <v>221</v>
      </c>
      <c r="U13" s="47">
        <v>2</v>
      </c>
      <c r="V13" s="29" t="str">
        <f>R13&amp;1</f>
        <v>鶯谷A1</v>
      </c>
      <c r="W13" s="29" t="s">
        <v>50</v>
      </c>
      <c r="X13" s="47">
        <v>1</v>
      </c>
      <c r="Y13" s="47" t="str">
        <f>INDEX($T$13:$T$25,_xlfn.RANK.EQ(Y18,$Y$18:$AD$20,0))</f>
        <v>蓑島　康太</v>
      </c>
      <c r="Z13" s="47" t="str">
        <f t="shared" ref="Y13:AC15" si="2">INDEX($T$13:$T$25,_xlfn.RANK.EQ(Z18,$Y$18:$AD$20,0))</f>
        <v>清原　隼</v>
      </c>
      <c r="AA13" s="47" t="str">
        <f t="shared" si="2"/>
        <v>田上　力一</v>
      </c>
      <c r="AB13" s="47" t="str">
        <f t="shared" si="2"/>
        <v>德田　恭実</v>
      </c>
      <c r="AC13" s="47" t="str">
        <f t="shared" si="2"/>
        <v>西村　翔真</v>
      </c>
      <c r="AD13" s="47"/>
    </row>
    <row r="14" spans="1:30" ht="20.25" customHeight="1" x14ac:dyDescent="0.15">
      <c r="A14" s="98">
        <v>8</v>
      </c>
      <c r="B14" s="29" t="e">
        <f>#REF!</f>
        <v>#REF!</v>
      </c>
      <c r="C14" s="446" t="s">
        <v>132</v>
      </c>
      <c r="D14" s="481">
        <f>IF(テーブル6[[#This Row],[氏　　名]]="","",INDEX($S$13:$S$25,MATCH(E14,$T$13:$T$25,0)))</f>
        <v>45030629</v>
      </c>
      <c r="E14" s="447" t="s">
        <v>310</v>
      </c>
      <c r="F14" s="447" t="str">
        <f>IF(テーブル6[[#This Row],[氏　　名]]="","",INDEX($R$13:$R$25,MATCH(E14,$T$13:$T$25,0)))</f>
        <v>済美</v>
      </c>
      <c r="G14" s="482">
        <f>IF(テーブル6[[#This Row],[氏　　名]]="","",INDEX($U$13:$U$25,MATCH(E14,$T$13:$T$25,0)))</f>
        <v>2</v>
      </c>
      <c r="H14" s="474">
        <v>95</v>
      </c>
      <c r="I14" s="483">
        <v>88</v>
      </c>
      <c r="J14" s="483">
        <v>91</v>
      </c>
      <c r="K14" s="483">
        <v>90</v>
      </c>
      <c r="L14" s="484">
        <v>87</v>
      </c>
      <c r="M14" s="485">
        <v>91</v>
      </c>
      <c r="N14" s="478">
        <f t="shared" si="0"/>
        <v>542</v>
      </c>
      <c r="O14" s="486">
        <f t="shared" si="1"/>
        <v>2</v>
      </c>
      <c r="P14" s="487">
        <v>4</v>
      </c>
      <c r="R14" s="47" t="s">
        <v>220</v>
      </c>
      <c r="S14" s="137">
        <v>47034316</v>
      </c>
      <c r="T14" s="295" t="s">
        <v>222</v>
      </c>
      <c r="U14" s="47">
        <v>2</v>
      </c>
      <c r="V14" s="29" t="str">
        <f>R14&amp;2</f>
        <v>鶯谷A2</v>
      </c>
      <c r="W14" s="29" t="s">
        <v>50</v>
      </c>
      <c r="X14" s="47">
        <v>2</v>
      </c>
      <c r="Y14" s="47" t="str">
        <f>INDEX($T$13:$T$25,_xlfn.RANK.EQ(Y19,$Y$18:$AD$20,0))</f>
        <v>棚橋　隼</v>
      </c>
      <c r="Z14" s="47" t="str">
        <f t="shared" si="2"/>
        <v>小森　翔太</v>
      </c>
      <c r="AA14" s="47" t="str">
        <f t="shared" si="2"/>
        <v>田邉　陸玖</v>
      </c>
      <c r="AB14" s="47" t="str">
        <f t="shared" si="2"/>
        <v>小倉　虎太郎</v>
      </c>
      <c r="AC14" s="47" t="str">
        <f t="shared" si="2"/>
        <v>山田　流空</v>
      </c>
      <c r="AD14" s="47"/>
    </row>
    <row r="15" spans="1:30" ht="20.25" customHeight="1" x14ac:dyDescent="0.15">
      <c r="A15" s="98">
        <v>12</v>
      </c>
      <c r="B15" s="29" t="e">
        <f>#REF!</f>
        <v>#REF!</v>
      </c>
      <c r="C15" s="446" t="s">
        <v>180</v>
      </c>
      <c r="D15" s="481">
        <f>IF(テーブル6[[#This Row],[氏　　名]]="","",INDEX($S$13:$S$25,MATCH(E15,$T$13:$T$25,0)))</f>
        <v>47034298</v>
      </c>
      <c r="E15" s="447" t="s">
        <v>344</v>
      </c>
      <c r="F15" s="447" t="str">
        <f>IF(テーブル6[[#This Row],[氏　　名]]="","",INDEX($R$13:$R$25,MATCH(E15,$T$13:$T$25,0)))</f>
        <v>関有知A</v>
      </c>
      <c r="G15" s="482">
        <f>IF(テーブル6[[#This Row],[氏　　名]]="","",INDEX($U$13:$U$25,MATCH(E15,$T$13:$T$25,0)))</f>
        <v>2</v>
      </c>
      <c r="H15" s="474">
        <v>83</v>
      </c>
      <c r="I15" s="483">
        <v>86</v>
      </c>
      <c r="J15" s="483">
        <v>85</v>
      </c>
      <c r="K15" s="483">
        <v>81</v>
      </c>
      <c r="L15" s="484">
        <v>81</v>
      </c>
      <c r="M15" s="485">
        <v>90</v>
      </c>
      <c r="N15" s="478">
        <f t="shared" si="0"/>
        <v>506</v>
      </c>
      <c r="O15" s="486">
        <f t="shared" si="1"/>
        <v>3</v>
      </c>
      <c r="P15" s="487">
        <v>3</v>
      </c>
      <c r="R15" s="47" t="s">
        <v>224</v>
      </c>
      <c r="S15" s="137">
        <v>50036114</v>
      </c>
      <c r="T15" s="295" t="s">
        <v>223</v>
      </c>
      <c r="U15" s="47">
        <v>1</v>
      </c>
      <c r="V15" s="29" t="str">
        <f t="shared" ref="V15:V17" si="3">R15&amp;1</f>
        <v>鶯谷1</v>
      </c>
      <c r="X15" s="47">
        <v>3</v>
      </c>
      <c r="Y15" s="47" t="str">
        <f t="shared" si="2"/>
        <v>加納　陸翔</v>
      </c>
      <c r="Z15" s="47" t="str">
        <f>INDEX($T$13:$T$25,_xlfn.RANK.EQ(Z20,$Y$18:$AD$20,0))</f>
        <v>山梨　功晴</v>
      </c>
      <c r="AA15" s="47" t="str">
        <f t="shared" si="2"/>
        <v>狩野　佑斗</v>
      </c>
      <c r="AB15" s="47"/>
      <c r="AC15" s="47"/>
      <c r="AD15" s="47"/>
    </row>
    <row r="16" spans="1:30" ht="20.25" customHeight="1" x14ac:dyDescent="0.15">
      <c r="A16" s="98">
        <v>1</v>
      </c>
      <c r="B16" s="29" t="e">
        <f>#REF!</f>
        <v>#REF!</v>
      </c>
      <c r="C16" s="446" t="s">
        <v>114</v>
      </c>
      <c r="D16" s="403">
        <f>IF(テーブル6[[#This Row],[氏　　名]]="","",INDEX($S$13:$S$25,MATCH(E16,$T$13:$T$25,0)))</f>
        <v>50036179</v>
      </c>
      <c r="E16" s="447" t="s">
        <v>336</v>
      </c>
      <c r="F16" s="447" t="str">
        <f>IF(テーブル6[[#This Row],[氏　　名]]="","",INDEX($R$13:$R$25,MATCH(E16,$T$13:$T$25,0)))</f>
        <v>済美A</v>
      </c>
      <c r="G16" s="482">
        <f>IF(テーブル6[[#This Row],[氏　　名]]="","",INDEX($U$13:$U$25,MATCH(E16,$T$13:$T$25,0)))</f>
        <v>1</v>
      </c>
      <c r="H16" s="488">
        <v>85</v>
      </c>
      <c r="I16" s="483">
        <v>81</v>
      </c>
      <c r="J16" s="483">
        <v>85</v>
      </c>
      <c r="K16" s="483">
        <v>84</v>
      </c>
      <c r="L16" s="484">
        <v>89</v>
      </c>
      <c r="M16" s="485">
        <v>81</v>
      </c>
      <c r="N16" s="478">
        <f t="shared" si="0"/>
        <v>505</v>
      </c>
      <c r="O16" s="486">
        <f t="shared" si="1"/>
        <v>4</v>
      </c>
      <c r="P16" s="487">
        <v>1</v>
      </c>
      <c r="R16" s="47" t="s">
        <v>197</v>
      </c>
      <c r="S16" s="137">
        <v>47034298</v>
      </c>
      <c r="T16" s="295" t="s">
        <v>243</v>
      </c>
      <c r="U16" s="47">
        <v>2</v>
      </c>
      <c r="V16" s="29" t="str">
        <f>R16&amp;2</f>
        <v>関有知A2</v>
      </c>
      <c r="X16" s="47"/>
      <c r="Y16" s="47"/>
      <c r="Z16" s="47"/>
      <c r="AA16" s="47"/>
      <c r="AB16" s="47"/>
      <c r="AC16" s="47"/>
      <c r="AD16" s="47"/>
    </row>
    <row r="17" spans="1:30" ht="20.25" customHeight="1" x14ac:dyDescent="0.15">
      <c r="A17" s="98">
        <v>7</v>
      </c>
      <c r="B17" s="29" t="e">
        <f>#REF!</f>
        <v>#REF!</v>
      </c>
      <c r="C17" s="446" t="s">
        <v>162</v>
      </c>
      <c r="D17" s="481">
        <f>IF(テーブル6[[#This Row],[氏　　名]]="","",INDEX($S$13:$S$25,MATCH(E17,$T$13:$T$25,0)))</f>
        <v>47034325</v>
      </c>
      <c r="E17" s="447" t="s">
        <v>272</v>
      </c>
      <c r="F17" s="447" t="str">
        <f>IF(テーブル6[[#This Row],[氏　　名]]="","",INDEX($R$13:$R$25,MATCH(E17,$T$13:$T$25,0)))</f>
        <v>大垣日大A</v>
      </c>
      <c r="G17" s="482">
        <f>IF(テーブル6[[#This Row],[氏　　名]]="","",INDEX($U$13:$U$25,MATCH(E17,$T$13:$T$25,0)))</f>
        <v>2</v>
      </c>
      <c r="H17" s="474">
        <v>77</v>
      </c>
      <c r="I17" s="483">
        <v>82</v>
      </c>
      <c r="J17" s="483">
        <v>85</v>
      </c>
      <c r="K17" s="483">
        <v>90</v>
      </c>
      <c r="L17" s="484">
        <v>80</v>
      </c>
      <c r="M17" s="485">
        <v>83</v>
      </c>
      <c r="N17" s="478">
        <f t="shared" si="0"/>
        <v>497</v>
      </c>
      <c r="O17" s="486">
        <f t="shared" si="1"/>
        <v>5</v>
      </c>
      <c r="P17" s="487">
        <v>1</v>
      </c>
      <c r="R17" s="47" t="s">
        <v>197</v>
      </c>
      <c r="S17" s="137">
        <v>50037236</v>
      </c>
      <c r="T17" s="295" t="s">
        <v>244</v>
      </c>
      <c r="U17" s="47">
        <v>1</v>
      </c>
      <c r="V17" s="29" t="str">
        <f t="shared" si="3"/>
        <v>関有知A1</v>
      </c>
    </row>
    <row r="18" spans="1:30" ht="20.25" customHeight="1" x14ac:dyDescent="0.15">
      <c r="A18" s="98">
        <v>5</v>
      </c>
      <c r="B18" s="29" t="e">
        <f>#REF!</f>
        <v>#REF!</v>
      </c>
      <c r="C18" s="446" t="s">
        <v>131</v>
      </c>
      <c r="D18" s="481">
        <f>IF(テーブル6[[#This Row],[氏　　名]]="","",INDEX($S$13:$S$25,MATCH(E18,$T$13:$T$25,0)))</f>
        <v>50037236</v>
      </c>
      <c r="E18" s="447" t="s">
        <v>345</v>
      </c>
      <c r="F18" s="447" t="str">
        <f>IF(テーブル6[[#This Row],[氏　　名]]="","",INDEX($R$13:$R$25,MATCH(E18,$T$13:$T$25,0)))</f>
        <v>関有知A</v>
      </c>
      <c r="G18" s="482">
        <f>IF(テーブル6[[#This Row],[氏　　名]]="","",INDEX($U$13:$U$25,MATCH(E18,$T$13:$T$25,0)))</f>
        <v>1</v>
      </c>
      <c r="H18" s="474">
        <v>74</v>
      </c>
      <c r="I18" s="483">
        <v>81</v>
      </c>
      <c r="J18" s="483">
        <v>89</v>
      </c>
      <c r="K18" s="483">
        <v>78</v>
      </c>
      <c r="L18" s="484">
        <v>81</v>
      </c>
      <c r="M18" s="485">
        <v>82</v>
      </c>
      <c r="N18" s="478">
        <f t="shared" si="0"/>
        <v>485</v>
      </c>
      <c r="O18" s="486">
        <f t="shared" si="1"/>
        <v>6</v>
      </c>
      <c r="P18" s="487">
        <v>2</v>
      </c>
      <c r="R18" s="47" t="s">
        <v>230</v>
      </c>
      <c r="S18" s="137">
        <v>47034304</v>
      </c>
      <c r="T18" s="295" t="s">
        <v>245</v>
      </c>
      <c r="U18" s="47">
        <v>2</v>
      </c>
      <c r="V18" s="29" t="str">
        <f>R18&amp;2</f>
        <v>関有知2</v>
      </c>
      <c r="Y18" s="29">
        <v>0.33194211655915795</v>
      </c>
      <c r="Z18" s="29">
        <v>0.95236433237132734</v>
      </c>
      <c r="AA18" s="29">
        <v>0.21837451889144743</v>
      </c>
      <c r="AB18" s="29">
        <v>0.48004307993811401</v>
      </c>
      <c r="AC18" s="29">
        <v>0.73547794197906669</v>
      </c>
    </row>
    <row r="19" spans="1:30" ht="20.25" customHeight="1" x14ac:dyDescent="0.15">
      <c r="A19" s="98">
        <v>9</v>
      </c>
      <c r="B19" s="189" t="e">
        <f>#REF!</f>
        <v>#REF!</v>
      </c>
      <c r="C19" s="146" t="s">
        <v>163</v>
      </c>
      <c r="D19" s="204">
        <f>IF(テーブル6[[#This Row],[氏　　名]]="","",INDEX($S$13:$S$25,MATCH(E19,$T$13:$T$25,0)))</f>
        <v>47034313</v>
      </c>
      <c r="E19" s="205" t="s">
        <v>341</v>
      </c>
      <c r="F19" s="77" t="str">
        <f>IF(テーブル6[[#This Row],[氏　　名]]="","",INDEX($R$13:$R$25,MATCH(E19,$T$13:$T$25,0)))</f>
        <v>郡上北A</v>
      </c>
      <c r="G19" s="201">
        <f>IF(テーブル6[[#This Row],[氏　　名]]="","",INDEX($U$13:$U$25,MATCH(E19,$T$13:$T$25,0)))</f>
        <v>2</v>
      </c>
      <c r="H19" s="202">
        <v>77</v>
      </c>
      <c r="I19" s="193">
        <v>87</v>
      </c>
      <c r="J19" s="193">
        <v>77</v>
      </c>
      <c r="K19" s="193">
        <v>73</v>
      </c>
      <c r="L19" s="192">
        <v>86</v>
      </c>
      <c r="M19" s="203">
        <v>75</v>
      </c>
      <c r="N19" s="206">
        <f t="shared" si="0"/>
        <v>475</v>
      </c>
      <c r="O19" s="150">
        <f t="shared" si="1"/>
        <v>7</v>
      </c>
      <c r="P19" s="101">
        <v>1</v>
      </c>
      <c r="R19" s="47" t="s">
        <v>141</v>
      </c>
      <c r="S19" s="137">
        <v>47034313</v>
      </c>
      <c r="T19" s="295" t="s">
        <v>284</v>
      </c>
      <c r="U19" s="47">
        <v>2</v>
      </c>
      <c r="V19" s="29" t="str">
        <f>R19&amp;1</f>
        <v>郡上北A1</v>
      </c>
      <c r="Y19" s="29">
        <v>0.56163892139726967</v>
      </c>
      <c r="Z19" s="29">
        <v>0.75940679661094823</v>
      </c>
      <c r="AA19" s="29">
        <v>0.259348454908366</v>
      </c>
      <c r="AB19" s="29">
        <v>0.51826506428440711</v>
      </c>
      <c r="AC19" s="29">
        <v>0.61068984342423549</v>
      </c>
    </row>
    <row r="20" spans="1:30" ht="20.25" customHeight="1" x14ac:dyDescent="0.15">
      <c r="A20" s="98">
        <v>6</v>
      </c>
      <c r="B20" s="189" t="e">
        <f>#REF!</f>
        <v>#REF!</v>
      </c>
      <c r="C20" s="146" t="s">
        <v>139</v>
      </c>
      <c r="D20" s="204">
        <f>IF(テーブル6[[#This Row],[氏　　名]]="","",INDEX($S$13:$S$25,MATCH(E20,$T$13:$T$25,0)))</f>
        <v>50036114</v>
      </c>
      <c r="E20" s="77" t="s">
        <v>339</v>
      </c>
      <c r="F20" s="77" t="str">
        <f>IF(テーブル6[[#This Row],[氏　　名]]="","",INDEX($R$13:$R$25,MATCH(E20,$T$13:$T$25,0)))</f>
        <v>鶯谷</v>
      </c>
      <c r="G20" s="201">
        <f>IF(テーブル6[[#This Row],[氏　　名]]="","",INDEX($U$13:$U$25,MATCH(E20,$T$13:$T$25,0)))</f>
        <v>1</v>
      </c>
      <c r="H20" s="202">
        <v>77</v>
      </c>
      <c r="I20" s="193">
        <v>74</v>
      </c>
      <c r="J20" s="193">
        <v>87</v>
      </c>
      <c r="K20" s="193">
        <v>79</v>
      </c>
      <c r="L20" s="192">
        <v>80</v>
      </c>
      <c r="M20" s="203">
        <v>74</v>
      </c>
      <c r="N20" s="206">
        <f t="shared" si="0"/>
        <v>471</v>
      </c>
      <c r="O20" s="150">
        <f t="shared" si="1"/>
        <v>8</v>
      </c>
      <c r="P20" s="101">
        <v>3</v>
      </c>
      <c r="R20" s="47" t="s">
        <v>141</v>
      </c>
      <c r="S20" s="137">
        <v>47034314</v>
      </c>
      <c r="T20" s="295" t="s">
        <v>285</v>
      </c>
      <c r="U20" s="47">
        <v>2</v>
      </c>
      <c r="V20" s="29" t="str">
        <f>R20&amp;2</f>
        <v>郡上北A2</v>
      </c>
      <c r="Y20" s="29">
        <v>0.15393507098991421</v>
      </c>
      <c r="Z20" s="29">
        <v>0.76816565625722699</v>
      </c>
      <c r="AA20" s="29">
        <v>0.54024023761266815</v>
      </c>
    </row>
    <row r="21" spans="1:30" ht="20.25" customHeight="1" x14ac:dyDescent="0.15">
      <c r="A21" s="98">
        <v>2</v>
      </c>
      <c r="B21" s="189" t="e">
        <f>#REF!</f>
        <v>#REF!</v>
      </c>
      <c r="C21" s="146" t="s">
        <v>130</v>
      </c>
      <c r="D21" s="204">
        <f>IF(テーブル6[[#This Row],[氏　　名]]="","",INDEX($S$13:$S$25,MATCH(E21,$T$13:$T$25,0)))</f>
        <v>47034304</v>
      </c>
      <c r="E21" s="138" t="s">
        <v>337</v>
      </c>
      <c r="F21" s="77" t="str">
        <f>IF(テーブル6[[#This Row],[氏　　名]]="","",INDEX($R$13:$R$25,MATCH(E21,$T$13:$T$25,0)))</f>
        <v>関有知</v>
      </c>
      <c r="G21" s="201">
        <f>IF(テーブル6[[#This Row],[氏　　名]]="","",INDEX($U$13:$U$25,MATCH(E21,$T$13:$T$25,0)))</f>
        <v>2</v>
      </c>
      <c r="H21" s="202">
        <v>77</v>
      </c>
      <c r="I21" s="193">
        <v>78</v>
      </c>
      <c r="J21" s="193">
        <v>83</v>
      </c>
      <c r="K21" s="193">
        <v>78</v>
      </c>
      <c r="L21" s="192">
        <v>79</v>
      </c>
      <c r="M21" s="203">
        <v>72</v>
      </c>
      <c r="N21" s="206">
        <f t="shared" si="0"/>
        <v>467</v>
      </c>
      <c r="O21" s="150">
        <f t="shared" si="1"/>
        <v>9</v>
      </c>
      <c r="P21" s="101">
        <v>2</v>
      </c>
      <c r="R21" s="47" t="s">
        <v>123</v>
      </c>
      <c r="S21" s="137">
        <v>45031949</v>
      </c>
      <c r="T21" s="295" t="s">
        <v>263</v>
      </c>
      <c r="U21" s="47">
        <v>2</v>
      </c>
      <c r="V21" s="29" t="str">
        <f>R21&amp;1</f>
        <v>済美A1</v>
      </c>
    </row>
    <row r="22" spans="1:30" ht="20.25" customHeight="1" x14ac:dyDescent="0.15">
      <c r="A22" s="98">
        <v>3</v>
      </c>
      <c r="B22" s="29" t="e">
        <f>#REF!</f>
        <v>#REF!</v>
      </c>
      <c r="C22" s="146" t="s">
        <v>138</v>
      </c>
      <c r="D22" s="200">
        <f>IF(テーブル6[[#This Row],[氏　　名]]="","",INDEX($S$13:$S$25,MATCH(E22,$T$13:$T$25,0)))</f>
        <v>50037024</v>
      </c>
      <c r="E22" s="94" t="s">
        <v>273</v>
      </c>
      <c r="F22" s="77" t="str">
        <f>IF(テーブル6[[#This Row],[氏　　名]]="","",INDEX($R$13:$R$25,MATCH(E22,$T$13:$T$25,0)))</f>
        <v>大垣日大A</v>
      </c>
      <c r="G22" s="201">
        <f>IF(テーブル6[[#This Row],[氏　　名]]="","",INDEX($U$13:$U$25,MATCH(E22,$T$13:$T$25,0)))</f>
        <v>1</v>
      </c>
      <c r="H22" s="202">
        <v>81</v>
      </c>
      <c r="I22" s="193">
        <v>72</v>
      </c>
      <c r="J22" s="193">
        <v>68</v>
      </c>
      <c r="K22" s="193">
        <v>72</v>
      </c>
      <c r="L22" s="192">
        <v>77</v>
      </c>
      <c r="M22" s="203">
        <v>83</v>
      </c>
      <c r="N22" s="199">
        <f t="shared" si="0"/>
        <v>453</v>
      </c>
      <c r="O22" s="150">
        <f t="shared" si="1"/>
        <v>10</v>
      </c>
      <c r="P22" s="101">
        <v>0</v>
      </c>
      <c r="R22" s="47" t="s">
        <v>123</v>
      </c>
      <c r="S22" s="137">
        <v>50036179</v>
      </c>
      <c r="T22" s="295" t="s">
        <v>264</v>
      </c>
      <c r="U22" s="47">
        <v>1</v>
      </c>
      <c r="V22" s="29" t="str">
        <f>R22&amp;2</f>
        <v>済美A2</v>
      </c>
    </row>
    <row r="23" spans="1:30" ht="20.25" customHeight="1" x14ac:dyDescent="0.15">
      <c r="A23" s="98">
        <v>13</v>
      </c>
      <c r="B23" s="189" t="e">
        <f>#REF!</f>
        <v>#REF!</v>
      </c>
      <c r="C23" s="146" t="s">
        <v>291</v>
      </c>
      <c r="D23" s="204">
        <f>IF(テーブル6[[#This Row],[氏　　名]]="","",INDEX($S$13:$S$25,MATCH(E23,$T$13:$T$25,0)))</f>
        <v>47034316</v>
      </c>
      <c r="E23" s="205" t="s">
        <v>340</v>
      </c>
      <c r="F23" s="77" t="str">
        <f>IF(テーブル6[[#This Row],[氏　　名]]="","",INDEX($R$13:$R$25,MATCH(E23,$T$13:$T$25,0)))</f>
        <v>鶯谷A</v>
      </c>
      <c r="G23" s="201">
        <f>IF(テーブル6[[#This Row],[氏　　名]]="","",INDEX($U$13:$U$25,MATCH(E23,$T$13:$T$25,0)))</f>
        <v>2</v>
      </c>
      <c r="H23" s="202">
        <v>80</v>
      </c>
      <c r="I23" s="193">
        <v>72</v>
      </c>
      <c r="J23" s="193">
        <v>68</v>
      </c>
      <c r="K23" s="193">
        <v>75</v>
      </c>
      <c r="L23" s="192">
        <v>80</v>
      </c>
      <c r="M23" s="203">
        <v>76</v>
      </c>
      <c r="N23" s="206">
        <f t="shared" si="0"/>
        <v>451</v>
      </c>
      <c r="O23" s="150">
        <f t="shared" si="1"/>
        <v>11</v>
      </c>
      <c r="P23" s="101">
        <v>2</v>
      </c>
      <c r="R23" s="47" t="s">
        <v>265</v>
      </c>
      <c r="S23" s="137">
        <v>45030629</v>
      </c>
      <c r="T23" s="295" t="s">
        <v>249</v>
      </c>
      <c r="U23" s="47">
        <v>2</v>
      </c>
      <c r="V23" s="29" t="str">
        <f>R23&amp;1</f>
        <v>済美1</v>
      </c>
      <c r="W23" s="29" t="s">
        <v>48</v>
      </c>
    </row>
    <row r="24" spans="1:30" ht="20.25" customHeight="1" x14ac:dyDescent="0.15">
      <c r="A24" s="98">
        <v>11</v>
      </c>
      <c r="B24" s="189" t="e">
        <f>#REF!</f>
        <v>#REF!</v>
      </c>
      <c r="C24" s="146" t="s">
        <v>159</v>
      </c>
      <c r="D24" s="204">
        <f>IF(テーブル6[[#This Row],[氏　　名]]="","",INDEX($S$13:$S$25,MATCH(E24,$T$13:$T$25,0)))</f>
        <v>47034314</v>
      </c>
      <c r="E24" s="205" t="s">
        <v>343</v>
      </c>
      <c r="F24" s="77" t="str">
        <f>IF(テーブル6[[#This Row],[氏　　名]]="","",INDEX($R$13:$R$25,MATCH(E24,$T$13:$T$25,0)))</f>
        <v>郡上北A</v>
      </c>
      <c r="G24" s="201">
        <f>IF(テーブル6[[#This Row],[氏　　名]]="","",INDEX($U$13:$U$25,MATCH(E24,$T$13:$T$25,0)))</f>
        <v>2</v>
      </c>
      <c r="H24" s="202">
        <v>61</v>
      </c>
      <c r="I24" s="193">
        <v>75</v>
      </c>
      <c r="J24" s="193">
        <v>72</v>
      </c>
      <c r="K24" s="193">
        <v>80</v>
      </c>
      <c r="L24" s="192">
        <v>78</v>
      </c>
      <c r="M24" s="203">
        <v>66</v>
      </c>
      <c r="N24" s="206">
        <f t="shared" si="0"/>
        <v>432</v>
      </c>
      <c r="O24" s="150">
        <f t="shared" si="1"/>
        <v>12</v>
      </c>
      <c r="P24" s="101">
        <v>1</v>
      </c>
      <c r="R24" s="47" t="s">
        <v>202</v>
      </c>
      <c r="S24" s="137">
        <v>47034325</v>
      </c>
      <c r="T24" s="295" t="s">
        <v>272</v>
      </c>
      <c r="U24" s="47">
        <v>2</v>
      </c>
      <c r="V24" s="29" t="str">
        <f>R24&amp;2</f>
        <v>大垣日大A2</v>
      </c>
      <c r="W24" s="29" t="s">
        <v>50</v>
      </c>
    </row>
    <row r="25" spans="1:30" ht="20.25" customHeight="1" x14ac:dyDescent="0.15">
      <c r="A25" s="98">
        <v>4</v>
      </c>
      <c r="B25" s="189" t="e">
        <f>#REF!</f>
        <v>#REF!</v>
      </c>
      <c r="C25" s="146" t="s">
        <v>150</v>
      </c>
      <c r="D25" s="204">
        <f>IF(テーブル6[[#This Row],[氏　　名]]="","",INDEX($S$13:$S$25,MATCH(E25,$T$13:$T$25,0)))</f>
        <v>47034315</v>
      </c>
      <c r="E25" s="77" t="s">
        <v>338</v>
      </c>
      <c r="F25" s="77" t="str">
        <f>IF(テーブル6[[#This Row],[氏　　名]]="","",INDEX($R$13:$R$25,MATCH(E25,$T$13:$T$25,0)))</f>
        <v>鶯谷A</v>
      </c>
      <c r="G25" s="77">
        <f>IF(テーブル6[[#This Row],[氏　　名]]="","",INDEX($U$13:$U$25,MATCH(E25,$T$13:$T$25,0)))</f>
        <v>2</v>
      </c>
      <c r="H25" s="202">
        <v>63</v>
      </c>
      <c r="I25" s="193">
        <v>73</v>
      </c>
      <c r="J25" s="193">
        <v>71</v>
      </c>
      <c r="K25" s="193">
        <v>67</v>
      </c>
      <c r="L25" s="192">
        <v>70</v>
      </c>
      <c r="M25" s="203">
        <v>77</v>
      </c>
      <c r="N25" s="206">
        <f t="shared" si="0"/>
        <v>421</v>
      </c>
      <c r="O25" s="150">
        <f t="shared" si="1"/>
        <v>13</v>
      </c>
      <c r="P25" s="101">
        <v>0</v>
      </c>
      <c r="R25" s="47" t="s">
        <v>202</v>
      </c>
      <c r="S25" s="137">
        <v>50037024</v>
      </c>
      <c r="T25" s="295" t="s">
        <v>273</v>
      </c>
      <c r="U25" s="47">
        <v>1</v>
      </c>
      <c r="V25" s="29" t="str">
        <f>R25&amp;1</f>
        <v>大垣日大A1</v>
      </c>
      <c r="W25" s="29" t="s">
        <v>51</v>
      </c>
    </row>
    <row r="26" spans="1:30" ht="20.25" customHeight="1" x14ac:dyDescent="0.15">
      <c r="B26" s="29" t="e">
        <f>#REF!</f>
        <v>#REF!</v>
      </c>
      <c r="C26" s="65"/>
      <c r="D26" s="65"/>
      <c r="E26" s="42"/>
      <c r="F26" s="42"/>
      <c r="G26" s="42"/>
      <c r="H26" s="198"/>
      <c r="I26" s="198"/>
      <c r="J26" s="198"/>
      <c r="K26" s="198"/>
      <c r="L26" s="198"/>
      <c r="M26" s="198"/>
      <c r="N26" s="198"/>
      <c r="O26" s="65"/>
      <c r="P26" s="65"/>
    </row>
    <row r="27" spans="1:30" ht="20.25" customHeight="1" thickBot="1" x14ac:dyDescent="0.2">
      <c r="E27" s="29" t="s">
        <v>9</v>
      </c>
      <c r="H27" s="64"/>
      <c r="I27" s="64"/>
      <c r="J27" s="64"/>
      <c r="K27" s="64"/>
      <c r="L27" s="64"/>
      <c r="M27" s="64"/>
      <c r="N27" s="198"/>
      <c r="O27" s="65"/>
      <c r="P27" s="65"/>
      <c r="R27" s="29" t="s">
        <v>120</v>
      </c>
    </row>
    <row r="28" spans="1:30" ht="21" customHeight="1" thickBot="1" x14ac:dyDescent="0.2">
      <c r="A28" s="208" t="s">
        <v>118</v>
      </c>
      <c r="B28" s="29" t="s">
        <v>106</v>
      </c>
      <c r="C28" s="69" t="s">
        <v>113</v>
      </c>
      <c r="D28" s="209" t="s">
        <v>115</v>
      </c>
      <c r="E28" s="71" t="s">
        <v>1</v>
      </c>
      <c r="F28" s="211" t="s">
        <v>2</v>
      </c>
      <c r="G28" s="212" t="s">
        <v>116</v>
      </c>
      <c r="H28" s="213" t="s">
        <v>107</v>
      </c>
      <c r="I28" s="210" t="s">
        <v>108</v>
      </c>
      <c r="J28" s="210" t="s">
        <v>109</v>
      </c>
      <c r="K28" s="210" t="s">
        <v>110</v>
      </c>
      <c r="L28" s="210" t="s">
        <v>111</v>
      </c>
      <c r="M28" s="212" t="s">
        <v>112</v>
      </c>
      <c r="N28" s="214" t="s">
        <v>3</v>
      </c>
      <c r="O28" s="215" t="s">
        <v>4</v>
      </c>
      <c r="P28" s="214" t="s">
        <v>117</v>
      </c>
      <c r="R28" s="47" t="s">
        <v>122</v>
      </c>
      <c r="S28" s="137" t="s">
        <v>115</v>
      </c>
      <c r="T28" s="295" t="s">
        <v>121</v>
      </c>
      <c r="U28" s="47" t="s">
        <v>116</v>
      </c>
      <c r="X28" s="47" t="s">
        <v>113</v>
      </c>
      <c r="Y28" s="47" t="s">
        <v>125</v>
      </c>
      <c r="Z28" s="47" t="s">
        <v>126</v>
      </c>
      <c r="AA28" s="47" t="s">
        <v>127</v>
      </c>
      <c r="AB28" s="47" t="s">
        <v>128</v>
      </c>
      <c r="AC28" s="47" t="s">
        <v>158</v>
      </c>
      <c r="AD28" s="47"/>
    </row>
    <row r="29" spans="1:30" ht="20.25" customHeight="1" x14ac:dyDescent="0.15">
      <c r="A29" s="99">
        <v>6</v>
      </c>
      <c r="B29" s="189"/>
      <c r="C29" s="446" t="s">
        <v>192</v>
      </c>
      <c r="D29" s="489">
        <f>IF(テーブル7[[#This Row],[氏　　名]]="","",INDEX($S$29:$S$38,MATCH(E29,$T$29:$T$38,0)))</f>
        <v>47034311</v>
      </c>
      <c r="E29" s="447" t="s">
        <v>348</v>
      </c>
      <c r="F29" s="447" t="str">
        <f>IF(テーブル7[[#This Row],[氏　　名]]="","",INDEX($R$29:$R$38,MATCH(E29,$T$29:$T$38,0)))</f>
        <v>済美</v>
      </c>
      <c r="G29" s="467">
        <f>IF(テーブル7[[#This Row],[氏　　名]]="","",INDEX($U$29:$U$38,MATCH(E29,$T$29:$T$38,0)))</f>
        <v>2</v>
      </c>
      <c r="H29" s="474">
        <v>89</v>
      </c>
      <c r="I29" s="483">
        <v>87</v>
      </c>
      <c r="J29" s="483">
        <v>92</v>
      </c>
      <c r="K29" s="483">
        <v>91</v>
      </c>
      <c r="L29" s="483">
        <v>90</v>
      </c>
      <c r="M29" s="490">
        <v>94</v>
      </c>
      <c r="N29" s="474">
        <f t="shared" ref="N29:N38" si="4">IF(H29="","",SUM(H29:M29))</f>
        <v>543</v>
      </c>
      <c r="O29" s="486">
        <f t="shared" ref="O29:O38" si="5">IF(N29="","",RANK(N29,$N$29:$N$38))</f>
        <v>1</v>
      </c>
      <c r="P29" s="487">
        <v>7</v>
      </c>
      <c r="R29" s="47" t="s">
        <v>228</v>
      </c>
      <c r="S29" s="137">
        <v>50034805</v>
      </c>
      <c r="T29" s="295" t="s">
        <v>225</v>
      </c>
      <c r="U29" s="47">
        <v>2</v>
      </c>
      <c r="V29" s="29" t="str">
        <f>R29&amp;1</f>
        <v>鶯谷A1</v>
      </c>
      <c r="W29" s="29" t="s">
        <v>286</v>
      </c>
      <c r="X29" s="47">
        <v>4</v>
      </c>
      <c r="Y29" s="47" t="str">
        <f t="shared" ref="Y29:AC30" si="6">INDEX($T$29:$T$38,_xlfn.RANK.EQ(Y33,$Y$33:$AD$34,0))</f>
        <v>東　莉杏</v>
      </c>
      <c r="Z29" s="47" t="str">
        <f t="shared" si="6"/>
        <v>角　　律希</v>
      </c>
      <c r="AA29" s="47" t="str">
        <f t="shared" si="6"/>
        <v>東出　妃奈子　</v>
      </c>
      <c r="AB29" s="47" t="str">
        <f t="shared" si="6"/>
        <v>関　　希</v>
      </c>
      <c r="AC29" s="47" t="str">
        <f t="shared" si="6"/>
        <v>古田聖莉奈</v>
      </c>
      <c r="AD29" s="47"/>
    </row>
    <row r="30" spans="1:30" ht="20.25" customHeight="1" x14ac:dyDescent="0.15">
      <c r="A30" s="99">
        <v>8</v>
      </c>
      <c r="B30" s="189"/>
      <c r="C30" s="446" t="s">
        <v>194</v>
      </c>
      <c r="D30" s="489">
        <f>IF(テーブル7[[#This Row],[氏　　名]]="","",INDEX($S$29:$S$38,MATCH(E30,$T$29:$T$38,0)))</f>
        <v>50037239</v>
      </c>
      <c r="E30" s="447" t="s">
        <v>349</v>
      </c>
      <c r="F30" s="447" t="str">
        <f>IF(テーブル7[[#This Row],[氏　　名]]="","",INDEX($R$29:$R$38,MATCH(E30,$T$29:$T$38,0)))</f>
        <v>関有知</v>
      </c>
      <c r="G30" s="467">
        <f>IF(テーブル7[[#This Row],[氏　　名]]="","",INDEX($U$29:$U$38,MATCH(E30,$T$29:$T$38,0)))</f>
        <v>1</v>
      </c>
      <c r="H30" s="474">
        <v>83</v>
      </c>
      <c r="I30" s="483">
        <v>88</v>
      </c>
      <c r="J30" s="483">
        <v>82</v>
      </c>
      <c r="K30" s="483">
        <v>85</v>
      </c>
      <c r="L30" s="483">
        <v>90</v>
      </c>
      <c r="M30" s="490">
        <v>89</v>
      </c>
      <c r="N30" s="474">
        <f t="shared" si="4"/>
        <v>517</v>
      </c>
      <c r="O30" s="470">
        <f t="shared" si="5"/>
        <v>2</v>
      </c>
      <c r="P30" s="487">
        <v>4</v>
      </c>
      <c r="R30" s="47" t="s">
        <v>228</v>
      </c>
      <c r="S30" s="137">
        <v>50036109</v>
      </c>
      <c r="T30" s="295" t="s">
        <v>226</v>
      </c>
      <c r="U30" s="47">
        <v>2</v>
      </c>
      <c r="V30" s="29" t="str">
        <f>R30&amp;2</f>
        <v>鶯谷A2</v>
      </c>
      <c r="W30" s="29" t="s">
        <v>286</v>
      </c>
      <c r="X30" s="47">
        <v>5</v>
      </c>
      <c r="Y30" s="47" t="str">
        <f t="shared" si="6"/>
        <v>佐竹　結衣</v>
      </c>
      <c r="Z30" s="47" t="str">
        <f t="shared" si="6"/>
        <v>加藤　葵</v>
      </c>
      <c r="AA30" s="47" t="str">
        <f t="shared" si="6"/>
        <v>柚木　紹</v>
      </c>
      <c r="AB30" s="47" t="str">
        <f t="shared" si="6"/>
        <v>藤江　香澄</v>
      </c>
      <c r="AC30" s="47" t="str">
        <f t="shared" si="6"/>
        <v>藤井　音緒</v>
      </c>
      <c r="AD30" s="47"/>
    </row>
    <row r="31" spans="1:30" ht="20.25" customHeight="1" x14ac:dyDescent="0.15">
      <c r="A31" s="99">
        <v>4</v>
      </c>
      <c r="B31" s="189"/>
      <c r="C31" s="446" t="s">
        <v>190</v>
      </c>
      <c r="D31" s="489">
        <f>IF(テーブル7[[#This Row],[氏　　名]]="","",INDEX($S$29:$S$38,MATCH(E31,$T$29:$T$38,0)))</f>
        <v>47034331</v>
      </c>
      <c r="E31" s="447" t="s">
        <v>267</v>
      </c>
      <c r="F31" s="447" t="str">
        <f>IF(テーブル7[[#This Row],[氏　　名]]="","",INDEX($R$29:$R$38,MATCH(E31,$T$29:$T$38,0)))</f>
        <v>大垣日大A</v>
      </c>
      <c r="G31" s="482">
        <f>IF(テーブル7[[#This Row],[氏　　名]]="","",INDEX($U$29:$U$38,MATCH(E31,$T$29:$T$38,0)))</f>
        <v>2</v>
      </c>
      <c r="H31" s="474">
        <v>85</v>
      </c>
      <c r="I31" s="483">
        <v>86</v>
      </c>
      <c r="J31" s="483">
        <v>92</v>
      </c>
      <c r="K31" s="483">
        <v>88</v>
      </c>
      <c r="L31" s="483">
        <v>78</v>
      </c>
      <c r="M31" s="490">
        <v>84</v>
      </c>
      <c r="N31" s="474">
        <f t="shared" si="4"/>
        <v>513</v>
      </c>
      <c r="O31" s="470">
        <f t="shared" si="5"/>
        <v>3</v>
      </c>
      <c r="P31" s="487">
        <v>3</v>
      </c>
      <c r="R31" s="47" t="s">
        <v>214</v>
      </c>
      <c r="S31" s="137">
        <v>50036111</v>
      </c>
      <c r="T31" s="295" t="s">
        <v>227</v>
      </c>
      <c r="U31" s="47">
        <v>2</v>
      </c>
      <c r="V31" s="29" t="str">
        <f>R31&amp;1</f>
        <v>鶯谷1</v>
      </c>
    </row>
    <row r="32" spans="1:30" ht="20.25" customHeight="1" x14ac:dyDescent="0.15">
      <c r="A32" s="99">
        <v>5</v>
      </c>
      <c r="B32" s="189"/>
      <c r="C32" s="446" t="s">
        <v>191</v>
      </c>
      <c r="D32" s="489">
        <f>IF(テーブル7[[#This Row],[氏　　名]]="","",INDEX($S$29:$S$38,MATCH(E32,$T$29:$T$38,0)))</f>
        <v>47034333</v>
      </c>
      <c r="E32" s="447" t="s">
        <v>274</v>
      </c>
      <c r="F32" s="447" t="str">
        <f>IF(テーブル7[[#This Row],[氏　　名]]="","",INDEX($R$29:$R$38,MATCH(E32,$T$29:$T$38,0)))</f>
        <v>大垣日大A</v>
      </c>
      <c r="G32" s="482">
        <f>IF(テーブル7[[#This Row],[氏　　名]]="","",INDEX($U$29:$U$38,MATCH(E32,$T$29:$T$38,0)))</f>
        <v>2</v>
      </c>
      <c r="H32" s="474">
        <v>79</v>
      </c>
      <c r="I32" s="483">
        <v>83</v>
      </c>
      <c r="J32" s="483">
        <v>75</v>
      </c>
      <c r="K32" s="483">
        <v>72</v>
      </c>
      <c r="L32" s="483">
        <v>77</v>
      </c>
      <c r="M32" s="490">
        <v>78</v>
      </c>
      <c r="N32" s="474">
        <f t="shared" si="4"/>
        <v>464</v>
      </c>
      <c r="O32" s="470">
        <f t="shared" si="5"/>
        <v>4</v>
      </c>
      <c r="P32" s="487">
        <v>1</v>
      </c>
      <c r="R32" s="47" t="s">
        <v>230</v>
      </c>
      <c r="S32" s="137">
        <v>50037239</v>
      </c>
      <c r="T32" s="295" t="s">
        <v>246</v>
      </c>
      <c r="U32" s="47">
        <v>1</v>
      </c>
      <c r="V32" s="29" t="str">
        <f t="shared" ref="V32:V34" si="7">R32&amp;1</f>
        <v>関有知1</v>
      </c>
    </row>
    <row r="33" spans="1:29" ht="20.25" customHeight="1" x14ac:dyDescent="0.15">
      <c r="A33" s="99">
        <v>10</v>
      </c>
      <c r="B33" s="189" t="e">
        <f>#REF!</f>
        <v>#REF!</v>
      </c>
      <c r="C33" s="446" t="s">
        <v>196</v>
      </c>
      <c r="D33" s="489">
        <f>IF(テーブル7[[#This Row],[氏　　名]]="","",INDEX($S$29:$S$38,MATCH(E33,$T$29:$T$38,0)))</f>
        <v>50034805</v>
      </c>
      <c r="E33" s="447" t="s">
        <v>350</v>
      </c>
      <c r="F33" s="447" t="str">
        <f>IF(テーブル7[[#This Row],[氏　　名]]="","",INDEX($R$29:$R$38,MATCH(E33,$T$29:$T$38,0)))</f>
        <v>鶯谷A</v>
      </c>
      <c r="G33" s="482">
        <f>IF(テーブル7[[#This Row],[氏　　名]]="","",INDEX($U$29:$U$38,MATCH(E33,$T$29:$T$38,0)))</f>
        <v>2</v>
      </c>
      <c r="H33" s="488">
        <v>72</v>
      </c>
      <c r="I33" s="483">
        <v>73</v>
      </c>
      <c r="J33" s="483">
        <v>79</v>
      </c>
      <c r="K33" s="483">
        <v>79</v>
      </c>
      <c r="L33" s="483">
        <v>80</v>
      </c>
      <c r="M33" s="490">
        <v>78</v>
      </c>
      <c r="N33" s="474">
        <f t="shared" si="4"/>
        <v>461</v>
      </c>
      <c r="O33" s="470">
        <f t="shared" si="5"/>
        <v>5</v>
      </c>
      <c r="P33" s="487">
        <v>1</v>
      </c>
      <c r="R33" s="47" t="s">
        <v>265</v>
      </c>
      <c r="S33" s="137">
        <v>47034311</v>
      </c>
      <c r="T33" s="295" t="s">
        <v>266</v>
      </c>
      <c r="U33" s="47">
        <v>2</v>
      </c>
      <c r="V33" s="29" t="str">
        <f>R33&amp;1</f>
        <v>済美1</v>
      </c>
      <c r="Y33" s="29">
        <v>0.9171708868500138</v>
      </c>
      <c r="Z33" s="29">
        <v>0.6968471308410138</v>
      </c>
      <c r="AA33" s="29">
        <v>0.20630403353445714</v>
      </c>
      <c r="AB33" s="29">
        <v>0.44536806718078592</v>
      </c>
      <c r="AC33" s="29">
        <v>0.75753332928436312</v>
      </c>
    </row>
    <row r="34" spans="1:29" ht="20.25" customHeight="1" x14ac:dyDescent="0.15">
      <c r="A34" s="99">
        <v>2</v>
      </c>
      <c r="B34" s="189"/>
      <c r="C34" s="446" t="s">
        <v>189</v>
      </c>
      <c r="D34" s="489">
        <f>IF(テーブル7[[#This Row],[氏　　名]]="","",INDEX($S$29:$S$38,MATCH(E34,$T$29:$T$38,0)))</f>
        <v>50037006</v>
      </c>
      <c r="E34" s="447" t="s">
        <v>276</v>
      </c>
      <c r="F34" s="447" t="str">
        <f>IF(テーブル7[[#This Row],[氏　　名]]="","",INDEX($R$29:$R$38,MATCH(E34,$T$29:$T$38,0)))</f>
        <v>大垣日大B</v>
      </c>
      <c r="G34" s="447">
        <f>IF(テーブル7[[#This Row],[氏　　名]]="","",INDEX($U$29:$U$38,MATCH(E34,$T$29:$T$38,0)))</f>
        <v>1</v>
      </c>
      <c r="H34" s="488">
        <v>69</v>
      </c>
      <c r="I34" s="483">
        <v>81</v>
      </c>
      <c r="J34" s="483">
        <v>72</v>
      </c>
      <c r="K34" s="483">
        <v>70</v>
      </c>
      <c r="L34" s="483">
        <v>74</v>
      </c>
      <c r="M34" s="490">
        <v>69</v>
      </c>
      <c r="N34" s="474">
        <f t="shared" si="4"/>
        <v>435</v>
      </c>
      <c r="O34" s="470">
        <f t="shared" si="5"/>
        <v>6</v>
      </c>
      <c r="P34" s="487">
        <v>2</v>
      </c>
      <c r="R34" s="47" t="s">
        <v>202</v>
      </c>
      <c r="S34" s="137">
        <v>47034331</v>
      </c>
      <c r="T34" s="295" t="s">
        <v>267</v>
      </c>
      <c r="U34" s="47">
        <v>2</v>
      </c>
      <c r="V34" s="29" t="str">
        <f t="shared" si="7"/>
        <v>大垣日大A1</v>
      </c>
      <c r="W34" s="29" t="s">
        <v>51</v>
      </c>
      <c r="Y34" s="29">
        <v>0.26180830731251648</v>
      </c>
      <c r="Z34" s="29">
        <v>0.79159210113620793</v>
      </c>
      <c r="AA34" s="29">
        <v>0.71325637962189348</v>
      </c>
      <c r="AB34" s="29">
        <v>0.26361941589715021</v>
      </c>
      <c r="AC34" s="29">
        <v>0.97355150390716272</v>
      </c>
    </row>
    <row r="35" spans="1:29" ht="20.25" customHeight="1" x14ac:dyDescent="0.15">
      <c r="A35" s="99">
        <v>9</v>
      </c>
      <c r="B35" s="189"/>
      <c r="C35" s="146" t="s">
        <v>195</v>
      </c>
      <c r="D35" s="204">
        <f>IF(テーブル7[[#This Row],[氏　　名]]="","",INDEX($S$29:$S$38,MATCH(E35,$T$29:$T$38,0)))</f>
        <v>50035564</v>
      </c>
      <c r="E35" s="77" t="s">
        <v>275</v>
      </c>
      <c r="F35" s="77" t="str">
        <f>IF(テーブル7[[#This Row],[氏　　名]]="","",INDEX($R$29:$R$38,MATCH(E35,$T$29:$T$38,0)))</f>
        <v>大垣日大B</v>
      </c>
      <c r="G35" s="77">
        <f>IF(テーブル7[[#This Row],[氏　　名]]="","",INDEX($U$29:$U$38,MATCH(E35,$T$29:$T$38,0)))</f>
        <v>2</v>
      </c>
      <c r="H35" s="202">
        <v>78</v>
      </c>
      <c r="I35" s="193">
        <v>74</v>
      </c>
      <c r="J35" s="193">
        <v>65</v>
      </c>
      <c r="K35" s="193">
        <v>74</v>
      </c>
      <c r="L35" s="193">
        <v>72</v>
      </c>
      <c r="M35" s="217">
        <v>72</v>
      </c>
      <c r="N35" s="202">
        <f t="shared" si="4"/>
        <v>435</v>
      </c>
      <c r="O35" s="297">
        <f t="shared" si="5"/>
        <v>6</v>
      </c>
      <c r="P35" s="101">
        <v>1</v>
      </c>
      <c r="R35" s="47" t="s">
        <v>202</v>
      </c>
      <c r="S35" s="137">
        <v>47034333</v>
      </c>
      <c r="T35" s="47" t="s">
        <v>274</v>
      </c>
      <c r="U35" s="47">
        <v>2</v>
      </c>
      <c r="V35" s="29" t="str">
        <f>R35&amp;2</f>
        <v>大垣日大A2</v>
      </c>
      <c r="W35" s="29" t="s">
        <v>51</v>
      </c>
    </row>
    <row r="36" spans="1:29" ht="20.25" customHeight="1" x14ac:dyDescent="0.15">
      <c r="A36" s="99">
        <v>3</v>
      </c>
      <c r="B36" s="189"/>
      <c r="C36" s="146" t="s">
        <v>140</v>
      </c>
      <c r="D36" s="204">
        <f>IF(テーブル7[[#This Row],[氏　　名]]="","",INDEX($S$29:$S$38,MATCH(E36,$T$29:$T$38,0)))</f>
        <v>50036111</v>
      </c>
      <c r="E36" s="138" t="s">
        <v>347</v>
      </c>
      <c r="F36" s="77" t="str">
        <f>IF(テーブル7[[#This Row],[氏　　名]]="","",INDEX($R$29:$R$38,MATCH(E36,$T$29:$T$38,0)))</f>
        <v>鶯谷</v>
      </c>
      <c r="G36" s="77">
        <f>IF(テーブル7[[#This Row],[氏　　名]]="","",INDEX($U$29:$U$38,MATCH(E36,$T$29:$T$38,0)))</f>
        <v>2</v>
      </c>
      <c r="H36" s="307">
        <v>71</v>
      </c>
      <c r="I36" s="193">
        <v>67</v>
      </c>
      <c r="J36" s="193">
        <v>61</v>
      </c>
      <c r="K36" s="193">
        <v>70</v>
      </c>
      <c r="L36" s="193">
        <v>67</v>
      </c>
      <c r="M36" s="217">
        <v>82</v>
      </c>
      <c r="N36" s="202">
        <f t="shared" si="4"/>
        <v>418</v>
      </c>
      <c r="O36" s="297">
        <f t="shared" si="5"/>
        <v>8</v>
      </c>
      <c r="P36" s="101">
        <v>1</v>
      </c>
      <c r="R36" s="47" t="s">
        <v>278</v>
      </c>
      <c r="S36" s="137">
        <v>50035564</v>
      </c>
      <c r="T36" s="47" t="s">
        <v>275</v>
      </c>
      <c r="U36" s="47">
        <v>2</v>
      </c>
      <c r="V36" s="29" t="str">
        <f>R36&amp;1</f>
        <v>大垣日大B1</v>
      </c>
      <c r="W36" s="29" t="s">
        <v>51</v>
      </c>
    </row>
    <row r="37" spans="1:29" ht="20.25" customHeight="1" x14ac:dyDescent="0.15">
      <c r="A37" s="99">
        <v>1</v>
      </c>
      <c r="B37" s="189"/>
      <c r="C37" s="146" t="s">
        <v>181</v>
      </c>
      <c r="D37" s="204">
        <f>IF(テーブル7[[#This Row],[氏　　名]]="","",INDEX($S$29:$S$38,MATCH(E37,$T$29:$T$38,0)))</f>
        <v>50036109</v>
      </c>
      <c r="E37" s="77" t="s">
        <v>346</v>
      </c>
      <c r="F37" s="77" t="str">
        <f>IF(テーブル7[[#This Row],[氏　　名]]="","",INDEX($R$29:$R$38,MATCH(E37,$T$29:$T$38,0)))</f>
        <v>鶯谷A</v>
      </c>
      <c r="G37" s="77">
        <f>IF(テーブル7[[#This Row],[氏　　名]]="","",INDEX($U$29:$U$38,MATCH(E37,$T$29:$T$38,0)))</f>
        <v>2</v>
      </c>
      <c r="H37" s="202">
        <v>63</v>
      </c>
      <c r="I37" s="193">
        <v>58</v>
      </c>
      <c r="J37" s="193">
        <v>44</v>
      </c>
      <c r="K37" s="193">
        <v>63</v>
      </c>
      <c r="L37" s="193">
        <v>78</v>
      </c>
      <c r="M37" s="217">
        <v>61</v>
      </c>
      <c r="N37" s="202">
        <f t="shared" si="4"/>
        <v>367</v>
      </c>
      <c r="O37" s="297">
        <f t="shared" si="5"/>
        <v>9</v>
      </c>
      <c r="P37" s="101">
        <v>1</v>
      </c>
      <c r="R37" s="47" t="s">
        <v>278</v>
      </c>
      <c r="S37" s="137">
        <v>50037006</v>
      </c>
      <c r="T37" s="295" t="s">
        <v>276</v>
      </c>
      <c r="U37" s="47">
        <v>1</v>
      </c>
      <c r="V37" s="29" t="str">
        <f>R37&amp;2</f>
        <v>大垣日大B2</v>
      </c>
      <c r="W37" s="29" t="s">
        <v>50</v>
      </c>
    </row>
    <row r="38" spans="1:29" ht="20.25" customHeight="1" thickBot="1" x14ac:dyDescent="0.2">
      <c r="A38" s="99">
        <v>7</v>
      </c>
      <c r="B38" s="177"/>
      <c r="C38" s="146" t="s">
        <v>193</v>
      </c>
      <c r="D38" s="218">
        <f>IF(テーブル7[[#This Row],[氏　　名]]="","",INDEX($S$29:$S$38,MATCH(E38,$T$29:$T$38,0)))</f>
        <v>50037022</v>
      </c>
      <c r="E38" s="143" t="s">
        <v>277</v>
      </c>
      <c r="F38" s="143" t="str">
        <f>IF(テーブル7[[#This Row],[氏　　名]]="","",INDEX($R$29:$R$38,MATCH(E38,$T$29:$T$38,0)))</f>
        <v>大垣日大</v>
      </c>
      <c r="G38" s="145">
        <f>IF(テーブル7[[#This Row],[氏　　名]]="","",INDEX($U$29:$U$38,MATCH(E38,$T$29:$T$38,0)))</f>
        <v>1</v>
      </c>
      <c r="H38" s="401">
        <v>51</v>
      </c>
      <c r="I38" s="207">
        <v>57</v>
      </c>
      <c r="J38" s="207">
        <v>56</v>
      </c>
      <c r="K38" s="207">
        <v>62</v>
      </c>
      <c r="L38" s="207">
        <v>50</v>
      </c>
      <c r="M38" s="219">
        <v>51</v>
      </c>
      <c r="N38" s="220">
        <f t="shared" si="4"/>
        <v>327</v>
      </c>
      <c r="O38" s="144">
        <f t="shared" si="5"/>
        <v>10</v>
      </c>
      <c r="P38" s="144">
        <v>1</v>
      </c>
      <c r="R38" s="47" t="s">
        <v>271</v>
      </c>
      <c r="S38" s="137">
        <v>50037022</v>
      </c>
      <c r="T38" s="47" t="s">
        <v>277</v>
      </c>
      <c r="U38" s="47">
        <v>1</v>
      </c>
      <c r="V38" s="29" t="str">
        <f>R38&amp;1</f>
        <v>大垣日大1</v>
      </c>
      <c r="W38" s="29" t="s">
        <v>50</v>
      </c>
    </row>
    <row r="39" spans="1:29" ht="20.25" customHeight="1" x14ac:dyDescent="0.15">
      <c r="K39" s="29"/>
      <c r="L39" s="197"/>
      <c r="M39" s="29"/>
    </row>
    <row r="40" spans="1:29" ht="20.25" customHeight="1" thickBot="1" x14ac:dyDescent="0.2">
      <c r="E40" s="29" t="s">
        <v>182</v>
      </c>
      <c r="K40" s="29"/>
      <c r="L40" s="197"/>
      <c r="M40" s="29"/>
    </row>
    <row r="41" spans="1:29" ht="20.25" customHeight="1" thickBot="1" x14ac:dyDescent="0.2">
      <c r="A41" s="141"/>
      <c r="B41" s="216"/>
      <c r="C41" s="312"/>
      <c r="D41" s="313"/>
      <c r="E41" s="314"/>
      <c r="F41" s="314"/>
      <c r="G41" s="315"/>
      <c r="H41" s="316"/>
      <c r="I41" s="317"/>
      <c r="J41" s="317"/>
      <c r="K41" s="317"/>
      <c r="L41" s="317"/>
      <c r="M41" s="318"/>
      <c r="N41" s="319"/>
      <c r="O41" s="320"/>
      <c r="P41" s="76"/>
      <c r="R41" s="47"/>
      <c r="S41" s="137"/>
      <c r="T41" s="295"/>
      <c r="U41" s="47"/>
    </row>
    <row r="42" spans="1:29" ht="21" customHeight="1" x14ac:dyDescent="0.15">
      <c r="K42" s="29"/>
      <c r="L42" s="197"/>
      <c r="M42" s="29"/>
    </row>
    <row r="43" spans="1:29" ht="21" customHeight="1" x14ac:dyDescent="0.15">
      <c r="K43" s="29"/>
      <c r="L43" s="197"/>
      <c r="M43" s="29"/>
    </row>
    <row r="44" spans="1:29" ht="21" customHeight="1" x14ac:dyDescent="0.15">
      <c r="K44" s="29"/>
      <c r="L44" s="197"/>
      <c r="M44" s="29"/>
    </row>
    <row r="45" spans="1:29" ht="21" customHeight="1" x14ac:dyDescent="0.15">
      <c r="K45" s="29"/>
      <c r="L45" s="197"/>
      <c r="M45" s="29"/>
    </row>
    <row r="46" spans="1:29" ht="21" customHeight="1" x14ac:dyDescent="0.15">
      <c r="K46" s="29"/>
      <c r="L46" s="197"/>
      <c r="M46" s="29"/>
    </row>
    <row r="47" spans="1:29" ht="21" customHeight="1" x14ac:dyDescent="0.15">
      <c r="K47" s="29"/>
      <c r="L47" s="197"/>
      <c r="M47" s="29"/>
    </row>
    <row r="48" spans="1:29" ht="21" customHeight="1" x14ac:dyDescent="0.15">
      <c r="K48" s="29"/>
      <c r="L48" s="197"/>
      <c r="M48" s="29"/>
    </row>
    <row r="49" spans="4:13" ht="21" customHeight="1" x14ac:dyDescent="0.15">
      <c r="K49" s="29"/>
      <c r="L49" s="197"/>
      <c r="M49" s="29"/>
    </row>
    <row r="50" spans="4:13" ht="21" customHeight="1" x14ac:dyDescent="0.15"/>
    <row r="51" spans="4:13" ht="17.25" customHeight="1" x14ac:dyDescent="0.15">
      <c r="H51" s="493"/>
      <c r="I51" s="493"/>
      <c r="J51" s="493"/>
    </row>
    <row r="52" spans="4:13" ht="17.25" customHeight="1" x14ac:dyDescent="0.15">
      <c r="H52" s="493"/>
      <c r="I52" s="493"/>
      <c r="J52" s="493"/>
    </row>
    <row r="53" spans="4:13" ht="17.25" customHeight="1" x14ac:dyDescent="0.15">
      <c r="H53" s="493"/>
      <c r="I53" s="493"/>
      <c r="J53" s="493"/>
    </row>
    <row r="54" spans="4:13" ht="17.25" customHeight="1" x14ac:dyDescent="0.15">
      <c r="D54" s="43"/>
    </row>
    <row r="55" spans="4:13" ht="17.25" customHeight="1" x14ac:dyDescent="0.15"/>
    <row r="56" spans="4:13" ht="17.25" customHeight="1" x14ac:dyDescent="0.15"/>
    <row r="57" spans="4:13" ht="17.25" customHeight="1" x14ac:dyDescent="0.15"/>
    <row r="58" spans="4:13" ht="17.25" customHeight="1" x14ac:dyDescent="0.15"/>
  </sheetData>
  <sortState xmlns:xlrd2="http://schemas.microsoft.com/office/spreadsheetml/2017/richdata2" ref="C29:P38">
    <sortCondition ref="C29:C38"/>
    <sortCondition ref="D29:D38"/>
  </sortState>
  <mergeCells count="4">
    <mergeCell ref="H53:J53"/>
    <mergeCell ref="D1:O3"/>
    <mergeCell ref="H51:J51"/>
    <mergeCell ref="H52:J52"/>
  </mergeCells>
  <phoneticPr fontId="1"/>
  <conditionalFormatting sqref="I13:M13 H14:M27 H29:M30 I31:M32 H33:M37 I38:M38 H41:M41">
    <cfRule type="cellIs" dxfId="10" priority="2" stopIfTrue="1" operator="greaterThan">
      <formula>103.9</formula>
    </cfRule>
  </conditionalFormatting>
  <conditionalFormatting sqref="N13:N26">
    <cfRule type="cellIs" dxfId="9" priority="1" stopIfTrue="1" operator="greaterThan">
      <formula>623.9</formula>
    </cfRule>
  </conditionalFormatting>
  <printOptions horizontalCentered="1"/>
  <pageMargins left="0" right="0" top="0.39370078740157483" bottom="0" header="0" footer="0"/>
  <pageSetup paperSize="9" scale="95" fitToHeight="2" orientation="portrait" r:id="rId1"/>
  <headerFooter alignWithMargins="0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00B050"/>
    <pageSetUpPr fitToPage="1"/>
  </sheetPr>
  <dimension ref="A1:J51"/>
  <sheetViews>
    <sheetView view="pageBreakPreview" zoomScale="85" zoomScaleNormal="100" zoomScaleSheetLayoutView="85" workbookViewId="0">
      <selection activeCell="P22" sqref="P22"/>
    </sheetView>
  </sheetViews>
  <sheetFormatPr defaultColWidth="9" defaultRowHeight="18.75" x14ac:dyDescent="0.15"/>
  <cols>
    <col min="1" max="1" width="6.625" style="29" customWidth="1"/>
    <col min="2" max="2" width="11.75" style="29" customWidth="1"/>
    <col min="3" max="3" width="15.375" style="29" bestFit="1" customWidth="1"/>
    <col min="4" max="4" width="12.625" style="29" bestFit="1" customWidth="1"/>
    <col min="5" max="5" width="15.375" style="29" customWidth="1"/>
    <col min="6" max="6" width="11.875" style="29" customWidth="1"/>
    <col min="7" max="7" width="15.375" style="29" customWidth="1"/>
    <col min="8" max="8" width="11.875" style="29" customWidth="1"/>
    <col min="9" max="9" width="11.125" style="29" customWidth="1"/>
    <col min="10" max="10" width="10.75" style="29" bestFit="1" customWidth="1"/>
    <col min="11" max="11" width="6.375" style="29" customWidth="1"/>
    <col min="12" max="16384" width="9" style="29"/>
  </cols>
  <sheetData>
    <row r="1" spans="1:10" ht="26.25" customHeight="1" thickBot="1" x14ac:dyDescent="0.2">
      <c r="B1" s="30" t="s">
        <v>164</v>
      </c>
      <c r="C1" s="30"/>
      <c r="D1" s="48">
        <v>46158</v>
      </c>
      <c r="E1" s="49">
        <f>WEEKDAY(D1)</f>
        <v>7</v>
      </c>
      <c r="F1" s="30" t="s">
        <v>165</v>
      </c>
      <c r="G1" s="30"/>
      <c r="H1" s="32"/>
      <c r="I1" s="32"/>
      <c r="J1" s="32"/>
    </row>
    <row r="2" spans="1:10" ht="24" customHeight="1" thickBot="1" x14ac:dyDescent="0.2">
      <c r="A2" s="249" t="s">
        <v>118</v>
      </c>
      <c r="B2" s="50" t="s">
        <v>6</v>
      </c>
      <c r="C2" s="222" t="s">
        <v>1</v>
      </c>
      <c r="D2" s="223" t="s">
        <v>7</v>
      </c>
      <c r="E2" s="223" t="s">
        <v>142</v>
      </c>
      <c r="F2" s="223" t="s">
        <v>143</v>
      </c>
      <c r="G2" s="223" t="s">
        <v>144</v>
      </c>
      <c r="H2" s="224" t="s">
        <v>145</v>
      </c>
      <c r="I2" s="228" t="s">
        <v>5</v>
      </c>
      <c r="J2" s="50" t="s">
        <v>4</v>
      </c>
    </row>
    <row r="3" spans="1:10" ht="24.75" customHeight="1" x14ac:dyDescent="0.15">
      <c r="A3" s="141">
        <v>1</v>
      </c>
      <c r="B3" s="246" t="s">
        <v>199</v>
      </c>
      <c r="C3" s="267" t="str">
        <f>INDEX(AR予選!$R$14:$R$17,MATCH(テーブル11[[#This Row],[チーム名]]&amp;1,AR予選!$T$14:$T$17,0))</f>
        <v>加藤　凜</v>
      </c>
      <c r="D3" s="350">
        <f>INDEX(テーブル2[合　計],MATCH(テーブル11[[#This Row],[氏　　名]],テーブル2[氏　　名],0))</f>
        <v>601.6</v>
      </c>
      <c r="E3" s="269" t="str">
        <f>INDEX(AR予選!$R$14:$R$17,MATCH(テーブル11[[#This Row],[チーム名]]&amp;2,AR予選!$T$14:$T$17,0))</f>
        <v>福田　隆人</v>
      </c>
      <c r="F3" s="350">
        <f>INDEX(テーブル2[合　計],MATCH(テーブル11[[#This Row],[氏　　名2]],テーブル2[氏　　名],0))</f>
        <v>592.9</v>
      </c>
      <c r="G3" s="269" t="str">
        <f>INDEX(AR予選!$R$14:$R$17,MATCH(テーブル11[[#This Row],[チーム名]]&amp;3,AR予選!$T$14:$T$17,0))</f>
        <v>田邉　陸玖</v>
      </c>
      <c r="H3" s="351">
        <f>INDEX(テーブル2[合　計],MATCH(テーブル11[[#This Row],[氏　　名3]],テーブル2[氏　　名],0))</f>
        <v>601.79999999999995</v>
      </c>
      <c r="I3" s="352">
        <f>IF(テーブル11[[#This Row],[得　点]]="","",テーブル11[[#This Row],[得　点]]+テーブル11[[#This Row],[得　点2]]+テーブル11[[#This Row],[得　点3]])</f>
        <v>1796.3</v>
      </c>
      <c r="J3" s="289">
        <f>IF(テーブル11[[#This Row],[合計点]]="","",_xlfn.RANK.EQ(テーブル11[[#This Row],[合計点]],テーブル11[合計点],1))</f>
        <v>1</v>
      </c>
    </row>
    <row r="4" spans="1:10" hidden="1" x14ac:dyDescent="0.15"/>
    <row r="5" spans="1:10" ht="26.25" hidden="1" customHeight="1" thickBot="1" x14ac:dyDescent="0.2">
      <c r="B5" s="30" t="s">
        <v>166</v>
      </c>
      <c r="C5" s="30"/>
      <c r="D5" s="48">
        <v>46158</v>
      </c>
      <c r="E5" s="49">
        <f>WEEKDAY(D5)</f>
        <v>7</v>
      </c>
      <c r="F5" s="30" t="s">
        <v>165</v>
      </c>
      <c r="G5" s="30"/>
      <c r="H5" s="32"/>
      <c r="I5" s="32"/>
      <c r="J5" s="32"/>
    </row>
    <row r="6" spans="1:10" ht="24" hidden="1" customHeight="1" thickBot="1" x14ac:dyDescent="0.2">
      <c r="A6" s="249" t="s">
        <v>118</v>
      </c>
      <c r="B6" s="50" t="s">
        <v>6</v>
      </c>
      <c r="C6" s="222" t="s">
        <v>1</v>
      </c>
      <c r="D6" s="223" t="s">
        <v>7</v>
      </c>
      <c r="E6" s="223" t="s">
        <v>142</v>
      </c>
      <c r="F6" s="223" t="s">
        <v>143</v>
      </c>
      <c r="G6" s="223" t="s">
        <v>144</v>
      </c>
      <c r="H6" s="224" t="s">
        <v>145</v>
      </c>
      <c r="I6" s="228" t="s">
        <v>5</v>
      </c>
      <c r="J6" s="50" t="s">
        <v>4</v>
      </c>
    </row>
    <row r="7" spans="1:10" ht="20.25" hidden="1" thickBot="1" x14ac:dyDescent="0.2">
      <c r="A7" s="250">
        <v>1</v>
      </c>
      <c r="B7" s="251" t="s">
        <v>124</v>
      </c>
      <c r="C7" s="238" t="e">
        <f>INDEX(AR予選!$R$21:$R$22,MATCH(テーブル1114[[#This Row],[チーム名]]&amp;1,AR予選!$T$21:$T$22,0))</f>
        <v>#N/A</v>
      </c>
      <c r="D7" s="227" t="e">
        <f>INDEX(テーブル1[合　計],MATCH(テーブル1114[[#This Row],[氏　　名]],テーブル1[氏　　名],0))</f>
        <v>#N/A</v>
      </c>
      <c r="E7" s="79" t="e">
        <f>INDEX(AR予選!$R$21:$R$22,MATCH(テーブル1114[[#This Row],[チーム名]]&amp;2,AR予選!$T$21:$T$22,0))</f>
        <v>#N/A</v>
      </c>
      <c r="F7" s="247" t="e">
        <f>INDEX(テーブル1[合　計],MATCH(テーブル1114[[#This Row],[氏　　名2]],テーブル1[氏　　名],0))</f>
        <v>#N/A</v>
      </c>
      <c r="G7" s="79" t="e">
        <f>INDEX(AR予選!$R$21:$R$22,MATCH(テーブル1114[[#This Row],[チーム名]]&amp;3,AR予選!$T$21:$T$22,0))</f>
        <v>#N/A</v>
      </c>
      <c r="H7" s="248" t="e">
        <f>INDEX(テーブル1[合　計],MATCH(テーブル1114[[#This Row],[氏　　名3]],テーブル1[氏　　名],0))</f>
        <v>#N/A</v>
      </c>
      <c r="I7" s="239" t="e">
        <f>IF(テーブル1114[[#This Row],[得　点]]="","",テーブル1114[[#This Row],[得　点]]+テーブル1114[[#This Row],[得　点2]]+テーブル1114[[#This Row],[得　点3]])</f>
        <v>#N/A</v>
      </c>
      <c r="J7" s="142" t="e">
        <f>IF(テーブル1114[[#This Row],[合計点]]="","",_xlfn.RANK.EQ(テーブル1114[[#This Row],[合計点]],テーブル1114[合計点],1))</f>
        <v>#N/A</v>
      </c>
    </row>
    <row r="8" spans="1:10" hidden="1" x14ac:dyDescent="0.15"/>
    <row r="9" spans="1:10" ht="26.25" hidden="1" customHeight="1" thickBot="1" x14ac:dyDescent="0.2">
      <c r="B9" s="30" t="s">
        <v>167</v>
      </c>
      <c r="C9" s="30"/>
      <c r="D9" s="48">
        <v>46158</v>
      </c>
      <c r="E9" s="49">
        <f>WEEKDAY(D9)</f>
        <v>7</v>
      </c>
      <c r="F9" s="30" t="s">
        <v>165</v>
      </c>
      <c r="G9" s="30"/>
      <c r="H9" s="32"/>
      <c r="I9" s="32"/>
      <c r="J9" s="32"/>
    </row>
    <row r="10" spans="1:10" ht="24" hidden="1" customHeight="1" thickBot="1" x14ac:dyDescent="0.2">
      <c r="A10" s="222" t="s">
        <v>118</v>
      </c>
      <c r="B10" s="225" t="s">
        <v>6</v>
      </c>
      <c r="C10" s="222" t="s">
        <v>1</v>
      </c>
      <c r="D10" s="223" t="s">
        <v>7</v>
      </c>
      <c r="E10" s="223" t="s">
        <v>142</v>
      </c>
      <c r="F10" s="223" t="s">
        <v>143</v>
      </c>
      <c r="G10" s="223" t="s">
        <v>144</v>
      </c>
      <c r="H10" s="224" t="s">
        <v>145</v>
      </c>
      <c r="I10" s="228" t="s">
        <v>5</v>
      </c>
      <c r="J10" s="50" t="s">
        <v>4</v>
      </c>
    </row>
    <row r="11" spans="1:10" ht="19.5" hidden="1" x14ac:dyDescent="0.15">
      <c r="A11" s="221">
        <v>1</v>
      </c>
      <c r="B11" s="226" t="s">
        <v>123</v>
      </c>
      <c r="C11" s="83" t="s">
        <v>203</v>
      </c>
      <c r="D11" s="187">
        <f>INDEX(テーブル10[合　計],MATCH(テーブル1115[[#This Row],[氏　　名]],テーブル10[氏　　名],0))</f>
        <v>0</v>
      </c>
      <c r="E11" s="173" t="s">
        <v>149</v>
      </c>
      <c r="F11" s="187">
        <f>INDEX(テーブル10[合　計],MATCH(テーブル1115[[#This Row],[氏　　名2]],テーブル10[氏　　名],0))</f>
        <v>0</v>
      </c>
      <c r="G11" s="233"/>
      <c r="H11" s="234"/>
      <c r="I11" s="229">
        <f>IF(テーブル1115[[#This Row],[得　点]]="","",テーブル1115[[#This Row],[得　点]]+テーブル1115[[#This Row],[得　点2]])</f>
        <v>0</v>
      </c>
      <c r="J11" s="230">
        <v>1</v>
      </c>
    </row>
    <row r="12" spans="1:10" hidden="1" x14ac:dyDescent="0.15"/>
    <row r="14" spans="1:10" ht="26.25" customHeight="1" thickBot="1" x14ac:dyDescent="0.2">
      <c r="B14" s="30" t="s">
        <v>31</v>
      </c>
      <c r="C14" s="30"/>
      <c r="D14" s="48">
        <f>BR予選!C5</f>
        <v>46313</v>
      </c>
      <c r="E14" s="49">
        <f>WEEKDAY(D14)</f>
        <v>1</v>
      </c>
      <c r="F14" s="30" t="str">
        <f>BR予選!E5</f>
        <v>済美高等学校射撃場</v>
      </c>
      <c r="G14" s="30"/>
      <c r="H14" s="32"/>
      <c r="I14" s="32"/>
      <c r="J14" s="32"/>
    </row>
    <row r="15" spans="1:10" ht="24" customHeight="1" thickBot="1" x14ac:dyDescent="0.2">
      <c r="A15" s="58" t="s">
        <v>118</v>
      </c>
      <c r="B15" s="131" t="s">
        <v>6</v>
      </c>
      <c r="C15" s="132" t="s">
        <v>1</v>
      </c>
      <c r="D15" s="133" t="s">
        <v>7</v>
      </c>
      <c r="E15" s="133" t="s">
        <v>142</v>
      </c>
      <c r="F15" s="133" t="s">
        <v>143</v>
      </c>
      <c r="G15" s="133" t="s">
        <v>144</v>
      </c>
      <c r="H15" s="128" t="s">
        <v>145</v>
      </c>
      <c r="I15" s="134" t="s">
        <v>5</v>
      </c>
      <c r="J15" s="135" t="s">
        <v>4</v>
      </c>
    </row>
    <row r="16" spans="1:10" ht="24.75" customHeight="1" x14ac:dyDescent="0.15">
      <c r="A16" s="141">
        <v>1</v>
      </c>
      <c r="B16" s="129" t="s">
        <v>199</v>
      </c>
      <c r="C16" s="259" t="str">
        <f>INDEX(BR予選!$R$13:$R$28,MATCH(テーブル4[[#This Row],[チーム名]]&amp;1,BR予選!$T$13:$T$28,0))</f>
        <v>井口　蒼太</v>
      </c>
      <c r="D16" s="260">
        <f>INDEX(テーブル3[合　計],MATCH(C16,テーブル3[氏　　名],0))</f>
        <v>621.9</v>
      </c>
      <c r="E16" s="259" t="str">
        <f>INDEX(BR予選!$R$13:$R$28,MATCH(テーブル4[[#This Row],[チーム名]]&amp;2,BR予選!$T$13:$T$28,0))</f>
        <v>加藤　凜</v>
      </c>
      <c r="F16" s="260">
        <f>INDEX(テーブル3[合　計],MATCH(E16,テーブル3[氏　　名],0))</f>
        <v>627.19999999999993</v>
      </c>
      <c r="G16" s="259" t="str">
        <f>INDEX(BR予選!$R$13:$R$28,MATCH(テーブル4[[#This Row],[チーム名]]&amp;3,BR予選!$T$13:$T$28,0))</f>
        <v>田邉　陸玖</v>
      </c>
      <c r="H16" s="261">
        <f>INDEX(テーブル3[合　計],MATCH(G16,テーブル3[氏　　名],0))</f>
        <v>620.69999999999993</v>
      </c>
      <c r="I16" s="262">
        <f>IF(テーブル4[[#This Row],[得　点]]="","",テーブル4[[#This Row],[得　点]]+テーブル4[[#This Row],[得　点2]]+テーブル4[[#This Row],[得　点3]])</f>
        <v>1869.7999999999997</v>
      </c>
      <c r="J16" s="263">
        <f>IF(I16="","",RANK(I16,$I$16:$I$19))</f>
        <v>1</v>
      </c>
    </row>
    <row r="17" spans="1:10" ht="24.75" customHeight="1" x14ac:dyDescent="0.15">
      <c r="A17" s="175">
        <v>2</v>
      </c>
      <c r="B17" s="130" t="s">
        <v>200</v>
      </c>
      <c r="C17" s="259" t="str">
        <f>INDEX(BR予選!$R$13:$R$28,MATCH(テーブル4[[#This Row],[チーム名]]&amp;1,BR予選!$T$13:$T$28,0))</f>
        <v>玉木　心晴</v>
      </c>
      <c r="D17" s="260">
        <f>INDEX(テーブル3[合　計],MATCH(C17,テーブル3[氏　　名],0))</f>
        <v>605.4</v>
      </c>
      <c r="E17" s="259" t="str">
        <f>INDEX(BR予選!$R$13:$R$28,MATCH(テーブル4[[#This Row],[チーム名]]&amp;2,BR予選!$T$13:$T$28,0))</f>
        <v>福田　隆人</v>
      </c>
      <c r="F17" s="260">
        <f>INDEX(テーブル3[合　計],MATCH(E17,テーブル3[氏　　名],0))</f>
        <v>618.5</v>
      </c>
      <c r="G17" s="259" t="str">
        <f>INDEX(BR予選!$R$13:$R$28,MATCH(テーブル4[[#This Row],[チーム名]]&amp;3,BR予選!$T$13:$T$28,0))</f>
        <v>森嶋　礼真</v>
      </c>
      <c r="H17" s="264">
        <f>INDEX(テーブル3[合　計],MATCH(G17,テーブル3[氏　　名],0))</f>
        <v>605</v>
      </c>
      <c r="I17" s="265">
        <f>IF(テーブル4[[#This Row],[得　点]]="","",テーブル4[[#This Row],[得　点]]+テーブル4[[#This Row],[得　点2]]+テーブル4[[#This Row],[得　点3]])</f>
        <v>1828.9</v>
      </c>
      <c r="J17" s="266">
        <f>IF(I17="","",RANK(I17,$I$16:$I$19))</f>
        <v>2</v>
      </c>
    </row>
    <row r="18" spans="1:10" ht="24.75" customHeight="1" x14ac:dyDescent="0.15">
      <c r="A18" s="175">
        <v>3</v>
      </c>
      <c r="B18" s="130" t="s">
        <v>197</v>
      </c>
      <c r="C18" s="259" t="str">
        <f>INDEX(BR予選!$R$13:$R$28,MATCH(テーブル4[[#This Row],[チーム名]]&amp;1,BR予選!$T$13:$T$28,0))</f>
        <v>澤村　実槻</v>
      </c>
      <c r="D18" s="260">
        <f>INDEX(テーブル3[合　計],MATCH(C18,テーブル3[氏　　名],0))</f>
        <v>555.4</v>
      </c>
      <c r="E18" s="231" t="str">
        <f>INDEX(BR予選!$R$13:$R$28,MATCH(テーブル4[[#This Row],[チーム名]]&amp;2,BR予選!$T$13:$T$28,0))</f>
        <v>春日井　月暉</v>
      </c>
      <c r="F18" s="260">
        <f>INDEX(テーブル3[合　計],MATCH(E18,テーブル3[氏　　名],0))</f>
        <v>620.9</v>
      </c>
      <c r="G18" s="231" t="str">
        <f>INDEX(BR予選!$R$13:$R$28,MATCH(テーブル4[[#This Row],[チーム名]]&amp;3,BR予選!$T$13:$T$28,0))</f>
        <v>永澤　京誠</v>
      </c>
      <c r="H18" s="264">
        <f>INDEX(テーブル3[合　計],MATCH(G18,テーブル3[氏　　名],0))</f>
        <v>606</v>
      </c>
      <c r="I18" s="265">
        <f>IF(テーブル4[[#This Row],[得　点]]="","",テーブル4[[#This Row],[得　点]]+テーブル4[[#This Row],[得　点2]]+テーブル4[[#This Row],[得　点3]])</f>
        <v>1782.3</v>
      </c>
      <c r="J18" s="266">
        <f>IF(I18="","",RANK(I18,$I$16:$I$19))</f>
        <v>3</v>
      </c>
    </row>
    <row r="19" spans="1:10" ht="24.75" customHeight="1" x14ac:dyDescent="0.15">
      <c r="A19" s="175">
        <v>4</v>
      </c>
      <c r="B19" s="130" t="s">
        <v>198</v>
      </c>
      <c r="C19" s="259" t="str">
        <f>INDEX(BR予選!$R$13:$R$28,MATCH(テーブル4[[#This Row],[チーム名]]&amp;1,BR予選!$T$13:$T$28,0))</f>
        <v>岩本　武士</v>
      </c>
      <c r="D19" s="260">
        <f>INDEX(テーブル3[合　計],MATCH(C19,テーブル3[氏　　名],0))</f>
        <v>0</v>
      </c>
      <c r="E19" s="259" t="str">
        <f>INDEX(BR予選!$R$13:$R$28,MATCH(テーブル4[[#This Row],[チーム名]]&amp;2,BR予選!$T$13:$T$28,0))</f>
        <v>平田　リュウ</v>
      </c>
      <c r="F19" s="260">
        <f>INDEX(テーブル3[合　計],MATCH(E19,テーブル3[氏　　名],0))</f>
        <v>574.9</v>
      </c>
      <c r="G19" s="259" t="str">
        <f>INDEX(BR予選!$R$13:$R$28,MATCH(テーブル4[[#This Row],[チーム名]]&amp;3,BR予選!$T$13:$T$28,0))</f>
        <v>辻　照永</v>
      </c>
      <c r="H19" s="264">
        <f>INDEX(テーブル3[合　計],MATCH(G19,テーブル3[氏　　名],0))</f>
        <v>570.20000000000005</v>
      </c>
      <c r="I19" s="265">
        <f>IF(テーブル4[[#This Row],[得　点]]="","",テーブル4[[#This Row],[得　点]]+テーブル4[[#This Row],[得　点2]]+テーブル4[[#This Row],[得　点3]])</f>
        <v>1145.0999999999999</v>
      </c>
      <c r="J19" s="266">
        <f>IF(I19="","",RANK(I19,$I$16:$I$19))</f>
        <v>4</v>
      </c>
    </row>
    <row r="20" spans="1:10" ht="24.75" customHeight="1" x14ac:dyDescent="0.15">
      <c r="B20" s="53"/>
      <c r="C20" s="53"/>
      <c r="D20" s="52"/>
      <c r="E20" s="53"/>
      <c r="F20" s="52"/>
      <c r="G20" s="53"/>
      <c r="H20" s="52"/>
      <c r="I20" s="52"/>
      <c r="J20" s="54"/>
    </row>
    <row r="21" spans="1:10" ht="24.75" customHeight="1" x14ac:dyDescent="0.15">
      <c r="B21" s="53"/>
      <c r="C21" s="53"/>
      <c r="D21" s="52"/>
      <c r="E21" s="53"/>
      <c r="F21" s="52"/>
      <c r="G21" s="53"/>
      <c r="H21" s="52"/>
      <c r="I21" s="52"/>
      <c r="J21" s="54"/>
    </row>
    <row r="22" spans="1:10" ht="24.75" customHeight="1" thickBot="1" x14ac:dyDescent="0.2">
      <c r="B22" s="55" t="s">
        <v>32</v>
      </c>
      <c r="C22" s="55"/>
      <c r="D22" s="48">
        <v>46159</v>
      </c>
      <c r="E22" s="49">
        <f>WEEKDAY(D22)</f>
        <v>1</v>
      </c>
      <c r="F22" s="55" t="str">
        <f>BR予選!E5</f>
        <v>済美高等学校射撃場</v>
      </c>
      <c r="G22" s="55"/>
      <c r="H22" s="59"/>
      <c r="I22" s="59"/>
    </row>
    <row r="23" spans="1:10" ht="24" customHeight="1" thickBot="1" x14ac:dyDescent="0.2">
      <c r="A23" s="176" t="s">
        <v>118</v>
      </c>
      <c r="B23" s="147" t="s">
        <v>6</v>
      </c>
      <c r="C23" s="132" t="s">
        <v>1</v>
      </c>
      <c r="D23" s="133" t="s">
        <v>7</v>
      </c>
      <c r="E23" s="133" t="s">
        <v>142</v>
      </c>
      <c r="F23" s="133" t="s">
        <v>143</v>
      </c>
      <c r="G23" s="133" t="s">
        <v>144</v>
      </c>
      <c r="H23" s="149" t="s">
        <v>145</v>
      </c>
      <c r="I23" s="50" t="s">
        <v>5</v>
      </c>
      <c r="J23" s="76" t="s">
        <v>4</v>
      </c>
    </row>
    <row r="24" spans="1:10" ht="24.75" customHeight="1" x14ac:dyDescent="0.15">
      <c r="A24" s="278">
        <v>1</v>
      </c>
      <c r="B24" s="353" t="s">
        <v>199</v>
      </c>
      <c r="C24" s="267" t="str">
        <f>INDEX(BR予選!$R$32:$R$50,MATCH(テーブル8[[#This Row],[チーム名]]&amp;1,BR予選!$T$32:$T$50,0))</f>
        <v>河出　菜欧美</v>
      </c>
      <c r="D24" s="268">
        <f>INDEX(テーブル5[合　計],MATCH(C24,テーブル5[氏　　名],0))</f>
        <v>616.5</v>
      </c>
      <c r="E24" s="269" t="str">
        <f>INDEX(BR予選!$R$32:$R$50,MATCH(テーブル8[[#This Row],[チーム名]]&amp;2,BR予選!$T$32:$T$50,0))</f>
        <v>田中　玲衣</v>
      </c>
      <c r="F24" s="270">
        <f>INDEX(テーブル5[合　計],MATCH(E24,テーブル5[氏　　名],0))</f>
        <v>614.9</v>
      </c>
      <c r="G24" s="269" t="str">
        <f>INDEX(BR予選!$R$32:$R$50,MATCH(テーブル8[[#This Row],[チーム名]]&amp;3,BR予選!$T$32:$T$50,0))</f>
        <v>杉山　碧依</v>
      </c>
      <c r="H24" s="271">
        <f>INDEX(テーブル5[合　計],MATCH(G24,テーブル5[氏　　名],0))</f>
        <v>609.5</v>
      </c>
      <c r="I24" s="272">
        <f>IF(テーブル8[[#This Row],[得　点]]="","",テーブル8[[#This Row],[得　点]]+テーブル8[[#This Row],[得　点2]]+テーブル8[[#This Row],[得　点3]])</f>
        <v>1840.9</v>
      </c>
      <c r="J24" s="279">
        <f>IF(I24="","",RANK(I24,テーブル8[合計点],0))</f>
        <v>1</v>
      </c>
    </row>
    <row r="25" spans="1:10" ht="24.75" customHeight="1" x14ac:dyDescent="0.15">
      <c r="A25" s="280">
        <v>2</v>
      </c>
      <c r="B25" s="130" t="s">
        <v>200</v>
      </c>
      <c r="C25" s="273" t="str">
        <f>INDEX(BR予選!$R$32:$R$50,MATCH(テーブル8[[#This Row],[チーム名]]&amp;1,BR予選!$T$32:$T$50,0))</f>
        <v>杉下　百花</v>
      </c>
      <c r="D25" s="268">
        <f>INDEX(テーブル5[合　計],MATCH(C25,テーブル5[氏　　名],0))</f>
        <v>605</v>
      </c>
      <c r="E25" s="274" t="str">
        <f>INDEX(BR予選!$R$32:$R$50,MATCH(テーブル8[[#This Row],[チーム名]]&amp;2,BR予選!$T$32:$T$50,0))</f>
        <v>木田　裕乃</v>
      </c>
      <c r="F25" s="268">
        <f>INDEX(テーブル5[合　計],MATCH(E25,テーブル5[氏　　名],0))</f>
        <v>603.5</v>
      </c>
      <c r="G25" s="274" t="str">
        <f>INDEX(BR予選!$R$32:$R$50,MATCH(テーブル8[[#This Row],[チーム名]]&amp;3,BR予選!$T$32:$T$50,0))</f>
        <v>梶川　結妃</v>
      </c>
      <c r="H25" s="275">
        <f>INDEX(テーブル5[合　計],MATCH(G25,テーブル5[氏　　名],0))</f>
        <v>608.1</v>
      </c>
      <c r="I25" s="272">
        <f>IF(テーブル8[[#This Row],[得　点]]="","",テーブル8[[#This Row],[得　点]]+テーブル8[[#This Row],[得　点2]]+テーブル8[[#This Row],[得　点3]])</f>
        <v>1816.6</v>
      </c>
      <c r="J25" s="281">
        <f>IF(I25="","",RANK(I25,テーブル8[合計点],0))</f>
        <v>2</v>
      </c>
    </row>
    <row r="26" spans="1:10" ht="24.75" customHeight="1" x14ac:dyDescent="0.15">
      <c r="A26" s="280">
        <v>3</v>
      </c>
      <c r="B26" s="276" t="s">
        <v>129</v>
      </c>
      <c r="C26" s="321" t="str">
        <f>INDEX(BR予選!$R$32:$R$50,MATCH(テーブル8[[#This Row],[チーム名]]&amp;1,BR予選!$T$32:$T$50,0))</f>
        <v>吉田　実咲希</v>
      </c>
      <c r="D26" s="268">
        <f>INDEX(テーブル5[合　計],MATCH(C26,テーブル5[氏　　名],0))</f>
        <v>600.4</v>
      </c>
      <c r="E26" s="259" t="str">
        <f>INDEX(BR予選!$R$32:$R$50,MATCH(テーブル8[[#This Row],[チーム名]]&amp;2,BR予選!$T$32:$T$50,0))</f>
        <v>後藤　小日芽</v>
      </c>
      <c r="F26" s="268">
        <f>INDEX(テーブル5[合　計],MATCH(E26,テーブル5[氏　　名],0))</f>
        <v>567.29999999999995</v>
      </c>
      <c r="G26" s="259" t="str">
        <f>INDEX(BR予選!$R$32:$R$50,MATCH(テーブル8[[#This Row],[チーム名]]&amp;3,BR予選!$T$32:$T$50,0))</f>
        <v>押田　雪那</v>
      </c>
      <c r="H26" s="322">
        <f>INDEX(テーブル5[合　計],MATCH(G26,テーブル5[氏　　名],0))</f>
        <v>579.5</v>
      </c>
      <c r="I26" s="272">
        <f>IF(テーブル8[[#This Row],[得　点]]="","",テーブル8[[#This Row],[得　点]]+テーブル8[[#This Row],[得　点2]]+テーブル8[[#This Row],[得　点3]])</f>
        <v>1747.1999999999998</v>
      </c>
      <c r="J26" s="279">
        <f>IF(I26="","",RANK(I26,テーブル8[合計点],0))</f>
        <v>3</v>
      </c>
    </row>
    <row r="27" spans="1:10" ht="24.75" customHeight="1" x14ac:dyDescent="0.15">
      <c r="A27" s="280">
        <v>5</v>
      </c>
      <c r="B27" s="276" t="s">
        <v>168</v>
      </c>
      <c r="C27" s="273" t="str">
        <f>INDEX(BR予選!$R$32:$R$50,MATCH(テーブル8[[#This Row],[チーム名]]&amp;1,BR予選!$T$32:$T$50,0))</f>
        <v>松丸　葵</v>
      </c>
      <c r="D27" s="268">
        <f>INDEX(テーブル5[合　計],MATCH(C27,テーブル5[氏　　名],0))</f>
        <v>591.70000000000005</v>
      </c>
      <c r="E27" s="274" t="str">
        <f>INDEX(BR予選!$R$32:$R$50,MATCH(テーブル8[[#This Row],[チーム名]]&amp;2,BR予選!$T$32:$T$50,0))</f>
        <v>澤田　茉利</v>
      </c>
      <c r="F27" s="268">
        <f>INDEX(テーブル5[合　計],MATCH(E27,テーブル5[氏　　名],0))</f>
        <v>501.39999999999992</v>
      </c>
      <c r="G27" s="274" t="str">
        <f>INDEX(BR予選!$R$32:$R$50,MATCH(テーブル8[[#This Row],[チーム名]]&amp;3,BR予選!$T$32:$T$50,0))</f>
        <v>安藤　凛</v>
      </c>
      <c r="H27" s="322">
        <f>INDEX(テーブル5[合　計],MATCH(G27,テーブル5[氏　　名],0))</f>
        <v>592.4</v>
      </c>
      <c r="I27" s="272">
        <f>IF(テーブル8[[#This Row],[得　点]]="","",テーブル8[[#This Row],[得　点]]+テーブル8[[#This Row],[得　点2]]+テーブル8[[#This Row],[得　点3]])</f>
        <v>1685.5</v>
      </c>
      <c r="J27" s="279">
        <f>IF(I27="","",RANK(I27,テーブル8[合計点],0))</f>
        <v>4</v>
      </c>
    </row>
    <row r="28" spans="1:10" ht="24.75" customHeight="1" thickBot="1" x14ac:dyDescent="0.2">
      <c r="A28" s="280">
        <v>4</v>
      </c>
      <c r="B28" s="276" t="s">
        <v>202</v>
      </c>
      <c r="C28" s="321" t="str">
        <f>INDEX(BR予選!$R$32:$R$50,MATCH(テーブル8[[#This Row],[チーム名]]&amp;1,BR予選!$T$32:$T$50,0))</f>
        <v>角　　律希</v>
      </c>
      <c r="D28" s="268">
        <f>INDEX(テーブル5[合　計],MATCH(C28,テーブル5[氏　　名],0))</f>
        <v>597.9</v>
      </c>
      <c r="E28" s="259" t="str">
        <f>INDEX(BR予選!$R$32:$R$50,MATCH(テーブル8[[#This Row],[チーム名]]&amp;2,BR予選!$T$32:$T$50,0))</f>
        <v>山田　千結</v>
      </c>
      <c r="F28" s="268">
        <f>INDEX(テーブル5[合　計],MATCH(E28,テーブル5[氏　　名],0))</f>
        <v>533.80000000000007</v>
      </c>
      <c r="G28" s="259" t="str">
        <f>INDEX(BR予選!$R$32:$R$50,MATCH(テーブル8[[#This Row],[チーム名]]&amp;3,BR予選!$T$32:$T$50,0))</f>
        <v>小川　桜空</v>
      </c>
      <c r="H28" s="275">
        <f>INDEX(テーブル5[合　計],MATCH(G28,テーブル5[氏　　名],0))</f>
        <v>530.4</v>
      </c>
      <c r="I28" s="277">
        <f>IF(テーブル8[[#This Row],[得　点]]="","",テーブル8[[#This Row],[得　点]]+テーブル8[[#This Row],[得　点2]]+テーブル8[[#This Row],[得　点3]])</f>
        <v>1662.1</v>
      </c>
      <c r="J28" s="134">
        <f>IF(I28="","",RANK(I28,テーブル8[合計点],0))</f>
        <v>5</v>
      </c>
    </row>
    <row r="29" spans="1:10" ht="24.75" customHeight="1" x14ac:dyDescent="0.15">
      <c r="B29" s="53"/>
      <c r="C29" s="53"/>
      <c r="D29" s="52"/>
      <c r="E29" s="53"/>
      <c r="F29" s="52"/>
      <c r="G29" s="53"/>
      <c r="H29" s="52"/>
      <c r="I29" s="52"/>
      <c r="J29" s="54"/>
    </row>
    <row r="30" spans="1:10" ht="24" customHeight="1" thickBot="1" x14ac:dyDescent="0.2">
      <c r="B30" s="55" t="s">
        <v>73</v>
      </c>
      <c r="C30" s="55"/>
      <c r="D30" s="48">
        <f>D22</f>
        <v>46159</v>
      </c>
      <c r="E30" s="49">
        <f>WEEKDAY(D30)</f>
        <v>1</v>
      </c>
      <c r="F30" s="55" t="str">
        <f>F22</f>
        <v>済美高等学校射撃場</v>
      </c>
      <c r="G30" s="55"/>
      <c r="H30" s="59"/>
      <c r="I30" s="64"/>
    </row>
    <row r="31" spans="1:10" ht="24.75" customHeight="1" thickBot="1" x14ac:dyDescent="0.2">
      <c r="A31" s="148" t="s">
        <v>118</v>
      </c>
      <c r="B31" s="147" t="s">
        <v>6</v>
      </c>
      <c r="C31" s="235" t="s">
        <v>1</v>
      </c>
      <c r="D31" s="236" t="s">
        <v>7</v>
      </c>
      <c r="E31" s="236" t="s">
        <v>142</v>
      </c>
      <c r="F31" s="236" t="s">
        <v>143</v>
      </c>
      <c r="G31" s="236" t="s">
        <v>144</v>
      </c>
      <c r="H31" s="237" t="s">
        <v>145</v>
      </c>
      <c r="I31" s="58" t="s">
        <v>5</v>
      </c>
      <c r="J31" s="58" t="s">
        <v>4</v>
      </c>
    </row>
    <row r="32" spans="1:10" ht="24.75" customHeight="1" x14ac:dyDescent="0.15">
      <c r="A32" s="278">
        <v>1</v>
      </c>
      <c r="B32" s="282" t="s">
        <v>199</v>
      </c>
      <c r="C32" s="283" t="str">
        <f>INDEX(BP予選!$T$13:$T$25,MATCH(B32&amp;1,BP予選!$V$13:$V$25,0))</f>
        <v>德田　恭実</v>
      </c>
      <c r="D32" s="284">
        <f>INDEX(テーブル6[合　計],MATCH(C32,テーブル6[氏　　名],0))</f>
        <v>543</v>
      </c>
      <c r="E32" s="285" t="str">
        <f>INDEX(BP予選!$T$13:$T$25,MATCH(テーブル9[[#This Row],[チーム名]]&amp;2,BP予選!$V$13:$V$25,0))</f>
        <v>蓑島　康太</v>
      </c>
      <c r="F32" s="284">
        <f>INDEX(テーブル6[合　計],MATCH(E32,テーブル6[氏　　名],0))</f>
        <v>505</v>
      </c>
      <c r="G32" s="286"/>
      <c r="H32" s="323"/>
      <c r="I32" s="287">
        <f>IF(テーブル9[[#This Row],[得　点]]="","",テーブル9[[#This Row],[得　点]]+テーブル9[[#This Row],[得　点2]])</f>
        <v>1048</v>
      </c>
      <c r="J32" s="288">
        <f>IF(I32="","",RANK(I32,テーブル9[合計点],0))</f>
        <v>1</v>
      </c>
    </row>
    <row r="33" spans="1:10" ht="24.75" customHeight="1" x14ac:dyDescent="0.15">
      <c r="A33" s="289">
        <v>3</v>
      </c>
      <c r="B33" s="290" t="s">
        <v>197</v>
      </c>
      <c r="C33" s="273" t="str">
        <f>INDEX(BP予選!$T$13:$T$25,MATCH(B33&amp;1,BP予選!$V$13:$V$25,0))</f>
        <v>山田　流空</v>
      </c>
      <c r="D33" s="291">
        <f>INDEX(テーブル6[合　計],MATCH(C33,テーブル6[氏　　名],0))</f>
        <v>485</v>
      </c>
      <c r="E33" s="274" t="str">
        <f>INDEX(BP予選!$T$13:$T$25,MATCH(テーブル9[[#This Row],[チーム名]]&amp;2,BP予選!$V$13:$V$25,0))</f>
        <v>西村　翔真</v>
      </c>
      <c r="F33" s="291">
        <f>INDEX(テーブル6[合　計],MATCH(E33,テーブル6[氏　　名],0))</f>
        <v>506</v>
      </c>
      <c r="G33" s="292"/>
      <c r="H33" s="324"/>
      <c r="I33" s="294">
        <f>IF(テーブル9[[#This Row],[得　点]]="","",テーブル9[[#This Row],[得　点]]+テーブル9[[#This Row],[得　点2]])</f>
        <v>991</v>
      </c>
      <c r="J33" s="281">
        <f>IF(I33="","",RANK(I33,テーブル9[合計点],0))</f>
        <v>2</v>
      </c>
    </row>
    <row r="34" spans="1:10" ht="24.75" customHeight="1" x14ac:dyDescent="0.15">
      <c r="A34" s="289">
        <v>4</v>
      </c>
      <c r="B34" s="276" t="s">
        <v>202</v>
      </c>
      <c r="C34" s="273" t="str">
        <f>INDEX(BP予選!$T$13:$T$25,MATCH(B34&amp;1,BP予選!$V$13:$V$25,0))</f>
        <v>加納　陸翔</v>
      </c>
      <c r="D34" s="291">
        <f>INDEX(テーブル6[合　計],MATCH(C34,テーブル6[氏　　名],0))</f>
        <v>453</v>
      </c>
      <c r="E34" s="274" t="str">
        <f>INDEX(BP予選!$T$13:$T$25,MATCH(テーブル9[[#This Row],[チーム名]]&amp;2,BP予選!$V$13:$V$25,0))</f>
        <v>田上　力一</v>
      </c>
      <c r="F34" s="291">
        <f>INDEX(テーブル6[合　計],MATCH(E34,テーブル6[氏　　名],0))</f>
        <v>497</v>
      </c>
      <c r="G34" s="292"/>
      <c r="H34" s="324"/>
      <c r="I34" s="294">
        <f>IF(テーブル9[[#This Row],[得　点]]="","",テーブル9[[#This Row],[得　点]]+テーブル9[[#This Row],[得　点2]])</f>
        <v>950</v>
      </c>
      <c r="J34" s="281">
        <f>IF(I34="","",RANK(I34,テーブル9[合計点],0))</f>
        <v>3</v>
      </c>
    </row>
    <row r="35" spans="1:10" ht="24.75" customHeight="1" x14ac:dyDescent="0.15">
      <c r="A35" s="289">
        <v>2</v>
      </c>
      <c r="B35" s="276" t="s">
        <v>141</v>
      </c>
      <c r="C35" s="273" t="str">
        <f>INDEX(BP予選!$T$13:$T$25,MATCH(B35&amp;1,BP予選!$V$13:$V$25,0))</f>
        <v>狩野　佑斗</v>
      </c>
      <c r="D35" s="291">
        <f>INDEX(テーブル6[合　計],MATCH(C35,テーブル6[氏　　名],0))</f>
        <v>475</v>
      </c>
      <c r="E35" s="274" t="str">
        <f>INDEX(BP予選!$T$13:$T$25,MATCH(テーブル9[[#This Row],[チーム名]]&amp;2,BP予選!$V$13:$V$25,0))</f>
        <v>小倉　虎太郎</v>
      </c>
      <c r="F35" s="291">
        <f>INDEX(テーブル6[合　計],MATCH(E35,テーブル6[氏　　名],0))</f>
        <v>432</v>
      </c>
      <c r="G35" s="292"/>
      <c r="H35" s="324"/>
      <c r="I35" s="294">
        <f>IF(テーブル9[[#This Row],[得　点]]="","",テーブル9[[#This Row],[得　点]]+テーブル9[[#This Row],[得　点2]])</f>
        <v>907</v>
      </c>
      <c r="J35" s="281">
        <f>IF(I35="","",RANK(I35,テーブル9[合計点],0))</f>
        <v>4</v>
      </c>
    </row>
    <row r="36" spans="1:10" ht="24.75" customHeight="1" x14ac:dyDescent="0.15">
      <c r="A36" s="289">
        <v>5</v>
      </c>
      <c r="B36" s="290" t="s">
        <v>201</v>
      </c>
      <c r="C36" s="273" t="str">
        <f>INDEX(BP予選!$T$13:$T$25,MATCH(B36&amp;1,BP予選!$V$13:$V$25,0))</f>
        <v>清原　隼</v>
      </c>
      <c r="D36" s="291">
        <f>INDEX(テーブル6[合　計],MATCH(C36,テーブル6[氏　　名],0))</f>
        <v>421</v>
      </c>
      <c r="E36" s="274" t="str">
        <f>INDEX(BP予選!$T$13:$T$25,MATCH(テーブル9[[#This Row],[チーム名]]&amp;2,BP予選!$V$13:$V$25,0))</f>
        <v>山梨　功晴</v>
      </c>
      <c r="F36" s="291">
        <f>INDEX(テーブル6[合　計],MATCH(E36,テーブル6[氏　　名],0))</f>
        <v>451</v>
      </c>
      <c r="G36" s="292"/>
      <c r="H36" s="293"/>
      <c r="I36" s="294">
        <f>IF(テーブル9[[#This Row],[得　点]]="","",テーブル9[[#This Row],[得　点]]+テーブル9[[#This Row],[得　点2]])</f>
        <v>872</v>
      </c>
      <c r="J36" s="281">
        <f>IF(I36="","",RANK(I36,テーブル9[合計点],0))</f>
        <v>5</v>
      </c>
    </row>
    <row r="37" spans="1:10" ht="24.75" customHeight="1" x14ac:dyDescent="0.15">
      <c r="B37" s="51"/>
      <c r="C37" s="51"/>
      <c r="D37" s="57"/>
      <c r="E37" s="51"/>
      <c r="F37" s="57"/>
      <c r="G37" s="51"/>
      <c r="H37" s="57"/>
      <c r="I37" s="57"/>
      <c r="J37" s="54"/>
    </row>
    <row r="38" spans="1:10" ht="24.75" customHeight="1" thickBot="1" x14ac:dyDescent="0.2">
      <c r="B38" s="55" t="s">
        <v>72</v>
      </c>
      <c r="C38" s="55"/>
      <c r="D38" s="48">
        <f>D22</f>
        <v>46159</v>
      </c>
      <c r="E38" s="49">
        <f>E22</f>
        <v>1</v>
      </c>
      <c r="F38" s="55" t="str">
        <f>F22</f>
        <v>済美高等学校射撃場</v>
      </c>
      <c r="G38" s="55"/>
      <c r="H38" s="56"/>
      <c r="I38" s="60"/>
      <c r="J38" s="32"/>
    </row>
    <row r="39" spans="1:10" ht="24.75" customHeight="1" thickBot="1" x14ac:dyDescent="0.2">
      <c r="A39" s="29" t="s">
        <v>118</v>
      </c>
      <c r="B39" s="61" t="s">
        <v>6</v>
      </c>
      <c r="C39" s="329" t="s">
        <v>1</v>
      </c>
      <c r="D39" s="62" t="s">
        <v>7</v>
      </c>
      <c r="E39" s="62" t="s">
        <v>1</v>
      </c>
      <c r="F39" s="62" t="s">
        <v>7</v>
      </c>
      <c r="G39" s="62" t="s">
        <v>1</v>
      </c>
      <c r="H39" s="328" t="s">
        <v>7</v>
      </c>
      <c r="I39" s="327" t="s">
        <v>5</v>
      </c>
      <c r="J39" s="50" t="s">
        <v>4</v>
      </c>
    </row>
    <row r="40" spans="1:10" ht="24.75" customHeight="1" x14ac:dyDescent="0.15">
      <c r="A40" s="29">
        <v>1</v>
      </c>
      <c r="B40" s="330" t="s">
        <v>157</v>
      </c>
      <c r="C40" s="283" t="str">
        <f>INDEX(BP予選!$T$29:$T$38,MATCH(B40&amp;1,BP予選!$V$29:$V$38,0))</f>
        <v>角　　律希</v>
      </c>
      <c r="D40" s="284">
        <f>INDEX(テーブル7[合　計],MATCH(C40,テーブル7[氏　　名],0))</f>
        <v>513</v>
      </c>
      <c r="E40" s="285" t="str">
        <f>INDEX(BP予選!$T$29:$T$38,MATCH(B40&amp;2,BP予選!$V$29:$V$38,0))</f>
        <v>関　　希</v>
      </c>
      <c r="F40" s="284">
        <f>INDEX(テーブル7[合　計],MATCH(E40,テーブル7[氏　　名],0))</f>
        <v>464</v>
      </c>
      <c r="G40" s="334"/>
      <c r="H40" s="335"/>
      <c r="I40" s="338">
        <f>IF(D40="","",D40+F40)</f>
        <v>977</v>
      </c>
      <c r="J40" s="58">
        <f>IF(I40="","",_xlfn.RANK.AVG(I40,$I$40:$I$42,0))</f>
        <v>1</v>
      </c>
    </row>
    <row r="41" spans="1:10" ht="24.75" customHeight="1" x14ac:dyDescent="0.15">
      <c r="A41" s="29">
        <v>2</v>
      </c>
      <c r="B41" s="331" t="s">
        <v>204</v>
      </c>
      <c r="C41" s="333" t="str">
        <f>INDEX(BP予選!$T$29:$T$38,MATCH(B41&amp;1,BP予選!$V$29:$V$38,0))</f>
        <v>藤江　香澄</v>
      </c>
      <c r="D41" s="325">
        <f>INDEX(テーブル7[合　計],MATCH(C41,テーブル7[氏　　名],0))</f>
        <v>435</v>
      </c>
      <c r="E41" s="274" t="str">
        <f>INDEX(BP予選!$T$29:$T$38,MATCH(B41&amp;2,BP予選!$V$29:$V$38,0))</f>
        <v>佐竹　結衣</v>
      </c>
      <c r="F41" s="325">
        <f>INDEX(テーブル7[合　計],MATCH(E41,テーブル7[氏　　名],0))</f>
        <v>435</v>
      </c>
      <c r="G41" s="336"/>
      <c r="H41" s="337"/>
      <c r="I41" s="326">
        <f>IF(D41="","",D41+F41)</f>
        <v>870</v>
      </c>
      <c r="J41" s="281">
        <f>IF(I41="","",_xlfn.RANK.AVG(I41,$I$40:$I$42,0))</f>
        <v>2</v>
      </c>
    </row>
    <row r="42" spans="1:10" ht="24.75" customHeight="1" x14ac:dyDescent="0.15">
      <c r="A42" s="29">
        <v>3</v>
      </c>
      <c r="B42" s="332" t="s">
        <v>168</v>
      </c>
      <c r="C42" s="333" t="str">
        <f>INDEX(BP予選!$T$29:$T$38,MATCH(B42&amp;1,BP予選!$V$29:$V$38,0))</f>
        <v>藤井　音緒</v>
      </c>
      <c r="D42" s="325">
        <f>INDEX(テーブル7[合　計],MATCH(C42,テーブル7[氏　　名],0))</f>
        <v>461</v>
      </c>
      <c r="E42" s="274" t="str">
        <f>INDEX(BP予選!$T$29:$T$38,MATCH(B42&amp;2,BP予選!$V$29:$V$38,0))</f>
        <v>東　莉杏</v>
      </c>
      <c r="F42" s="325">
        <f>INDEX(テーブル7[合　計],MATCH(E42,テーブル7[氏　　名],0))</f>
        <v>367</v>
      </c>
      <c r="G42" s="336"/>
      <c r="H42" s="337"/>
      <c r="I42" s="339">
        <f>IF(D42="","",D42+F42)</f>
        <v>828</v>
      </c>
      <c r="J42" s="349">
        <f>IF(I42="","",_xlfn.RANK.AVG(I42,$I$40:$I$42,0))</f>
        <v>3</v>
      </c>
    </row>
    <row r="43" spans="1:10" ht="23.45" customHeight="1" x14ac:dyDescent="0.15">
      <c r="B43" s="53"/>
      <c r="C43" s="53"/>
      <c r="D43" s="52"/>
      <c r="E43" s="53"/>
      <c r="F43" s="52"/>
      <c r="G43" s="53"/>
      <c r="H43" s="52"/>
      <c r="I43" s="63"/>
      <c r="J43" s="54"/>
    </row>
    <row r="44" spans="1:10" ht="15" customHeight="1" x14ac:dyDescent="0.15"/>
    <row r="45" spans="1:10" ht="24" customHeight="1" x14ac:dyDescent="0.15"/>
    <row r="46" spans="1:10" ht="24" customHeight="1" x14ac:dyDescent="0.15"/>
    <row r="47" spans="1:10" ht="24" customHeight="1" x14ac:dyDescent="0.15"/>
    <row r="48" spans="1:10" ht="24.75" customHeight="1" x14ac:dyDescent="0.15"/>
    <row r="49" ht="24.75" customHeight="1" x14ac:dyDescent="0.15"/>
    <row r="50" ht="24" customHeight="1" x14ac:dyDescent="0.15"/>
    <row r="51" ht="24" customHeight="1" x14ac:dyDescent="0.15"/>
  </sheetData>
  <autoFilter ref="A39:J42" xr:uid="{00000000-0001-0000-0700-000000000000}">
    <sortState xmlns:xlrd2="http://schemas.microsoft.com/office/spreadsheetml/2017/richdata2" ref="A40:J42">
      <sortCondition ref="J39:J42"/>
    </sortState>
  </autoFilter>
  <phoneticPr fontId="1"/>
  <printOptions horizontalCentered="1"/>
  <pageMargins left="0" right="0" top="0.39370078740157483" bottom="0" header="0" footer="0"/>
  <pageSetup paperSize="9" scale="88" fitToHeight="0" orientation="portrait" r:id="rId1"/>
  <headerFooter alignWithMargins="0"/>
  <rowBreaks count="1" manualBreakCount="1">
    <brk id="44" min="1" max="9" man="1"/>
  </rowBreaks>
  <tableParts count="6"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B1:I70"/>
  <sheetViews>
    <sheetView view="pageBreakPreview" topLeftCell="A51" zoomScale="70" zoomScaleNormal="100" zoomScaleSheetLayoutView="70" workbookViewId="0">
      <selection activeCell="O54" sqref="O54"/>
    </sheetView>
  </sheetViews>
  <sheetFormatPr defaultColWidth="9" defaultRowHeight="22.5" x14ac:dyDescent="0.15"/>
  <cols>
    <col min="1" max="1" width="1.625" style="30" customWidth="1"/>
    <col min="2" max="2" width="16.625" style="30" customWidth="1"/>
    <col min="3" max="5" width="15.625" style="30" customWidth="1"/>
    <col min="6" max="6" width="17" style="30" customWidth="1"/>
    <col min="7" max="8" width="15.625" style="30" customWidth="1"/>
    <col min="9" max="9" width="19.125" style="30" customWidth="1"/>
    <col min="10" max="16384" width="9" style="30"/>
  </cols>
  <sheetData>
    <row r="1" spans="2:9" x14ac:dyDescent="0.15">
      <c r="B1" s="30" t="s">
        <v>11</v>
      </c>
      <c r="I1" s="30" t="s">
        <v>174</v>
      </c>
    </row>
    <row r="2" spans="2:9" x14ac:dyDescent="0.15">
      <c r="B2" s="31"/>
      <c r="C2" s="105"/>
      <c r="F2" s="31"/>
      <c r="G2" s="31"/>
      <c r="H2" s="31"/>
    </row>
    <row r="3" spans="2:9" x14ac:dyDescent="0.15">
      <c r="B3" s="495" t="s">
        <v>169</v>
      </c>
      <c r="C3" s="495"/>
      <c r="D3" s="495"/>
      <c r="E3" s="495"/>
      <c r="F3" s="495"/>
      <c r="G3" s="495"/>
      <c r="H3" s="495"/>
      <c r="I3" s="495"/>
    </row>
    <row r="4" spans="2:9" x14ac:dyDescent="0.15">
      <c r="B4" s="154">
        <v>46312</v>
      </c>
      <c r="C4" s="49">
        <f>WEEKDAY(B4)</f>
        <v>7</v>
      </c>
      <c r="D4" s="30" t="s">
        <v>165</v>
      </c>
      <c r="F4" s="31"/>
      <c r="G4" s="31"/>
      <c r="H4" s="31"/>
    </row>
    <row r="5" spans="2:9" ht="23.25" thickBot="1" x14ac:dyDescent="0.2">
      <c r="B5" s="30" t="s">
        <v>41</v>
      </c>
      <c r="C5" s="105"/>
      <c r="F5" s="31"/>
      <c r="G5" s="31"/>
      <c r="H5" s="31"/>
    </row>
    <row r="6" spans="2:9" ht="23.25" thickBot="1" x14ac:dyDescent="0.2">
      <c r="B6" s="106"/>
      <c r="C6" s="106">
        <v>1</v>
      </c>
      <c r="D6" s="107" t="s">
        <v>40</v>
      </c>
      <c r="E6" s="106">
        <v>2</v>
      </c>
      <c r="F6" s="107" t="s">
        <v>40</v>
      </c>
      <c r="G6" s="106">
        <v>3</v>
      </c>
      <c r="H6" s="107" t="s">
        <v>40</v>
      </c>
      <c r="I6" s="108" t="s">
        <v>12</v>
      </c>
    </row>
    <row r="7" spans="2:9" x14ac:dyDescent="0.15">
      <c r="B7" s="508" t="s">
        <v>10</v>
      </c>
      <c r="C7" s="109" t="str">
        <f>AR予選!D14</f>
        <v>井口　蒼太</v>
      </c>
      <c r="D7" s="520">
        <f>AR予選!M14</f>
        <v>612.29999999999995</v>
      </c>
      <c r="E7" s="109" t="str">
        <f>AR予選!D15</f>
        <v>田邉　陸玖</v>
      </c>
      <c r="F7" s="520">
        <f>AR予選!M15</f>
        <v>601.79999999999995</v>
      </c>
      <c r="G7" s="109" t="str">
        <f>AR予選!D16</f>
        <v>加藤　凜</v>
      </c>
      <c r="H7" s="520">
        <f>AR予選!M16</f>
        <v>601.6</v>
      </c>
      <c r="I7" s="110"/>
    </row>
    <row r="8" spans="2:9" ht="23.25" thickBot="1" x14ac:dyDescent="0.2">
      <c r="B8" s="509"/>
      <c r="C8" s="111" t="str">
        <f>AR予選!E14</f>
        <v>済美</v>
      </c>
      <c r="D8" s="521"/>
      <c r="E8" s="111" t="str">
        <f>AR予選!E15</f>
        <v>済美A</v>
      </c>
      <c r="F8" s="522"/>
      <c r="G8" s="111" t="str">
        <f>AR予選!E16</f>
        <v>済美A</v>
      </c>
      <c r="H8" s="522"/>
      <c r="I8" s="112"/>
    </row>
    <row r="9" spans="2:9" x14ac:dyDescent="0.15">
      <c r="B9" s="508" t="s">
        <v>9</v>
      </c>
      <c r="C9" s="109" t="str">
        <f>AR予選!D21</f>
        <v>浅野　海空</v>
      </c>
      <c r="D9" s="523">
        <f>AR予選!M21</f>
        <v>623.19999999999993</v>
      </c>
      <c r="E9" s="109" t="str">
        <f>AR予選!D22</f>
        <v>田中　玲衣</v>
      </c>
      <c r="F9" s="520">
        <f>AR予選!M22</f>
        <v>570.19999999999993</v>
      </c>
      <c r="G9" s="109"/>
      <c r="H9" s="520"/>
      <c r="I9" s="113"/>
    </row>
    <row r="10" spans="2:9" ht="23.25" thickBot="1" x14ac:dyDescent="0.2">
      <c r="B10" s="509"/>
      <c r="C10" s="111" t="str">
        <f>AR予選!E21</f>
        <v>関有知</v>
      </c>
      <c r="D10" s="524"/>
      <c r="E10" s="111" t="str">
        <f>AR予選!E22</f>
        <v>済美</v>
      </c>
      <c r="F10" s="522"/>
      <c r="G10" s="111"/>
      <c r="H10" s="522"/>
      <c r="I10" s="112"/>
    </row>
    <row r="11" spans="2:9" x14ac:dyDescent="0.15">
      <c r="B11" s="31"/>
      <c r="C11" s="31"/>
      <c r="D11" s="240"/>
      <c r="E11" s="31"/>
      <c r="F11" s="31"/>
      <c r="G11" s="31"/>
      <c r="H11" s="31"/>
    </row>
    <row r="12" spans="2:9" ht="23.25" thickBot="1" x14ac:dyDescent="0.2">
      <c r="B12" s="30" t="s">
        <v>170</v>
      </c>
      <c r="C12" s="115"/>
      <c r="D12" s="115"/>
      <c r="E12" s="115"/>
      <c r="F12" s="115"/>
    </row>
    <row r="13" spans="2:9" ht="23.25" thickBot="1" x14ac:dyDescent="0.2">
      <c r="B13" s="106"/>
      <c r="C13" s="106">
        <v>1</v>
      </c>
      <c r="D13" s="107" t="s">
        <v>40</v>
      </c>
      <c r="E13" s="106">
        <v>2</v>
      </c>
      <c r="F13" s="107" t="s">
        <v>40</v>
      </c>
      <c r="G13" s="106">
        <v>3</v>
      </c>
      <c r="H13" s="107" t="s">
        <v>40</v>
      </c>
      <c r="I13" s="108" t="s">
        <v>12</v>
      </c>
    </row>
    <row r="14" spans="2:9" x14ac:dyDescent="0.15">
      <c r="B14" s="514" t="s">
        <v>10</v>
      </c>
      <c r="C14" s="516" t="str">
        <f>団体戦!B3</f>
        <v>済美A</v>
      </c>
      <c r="D14" s="117" t="str">
        <f>団体戦!C3</f>
        <v>加藤　凜</v>
      </c>
      <c r="E14" s="518"/>
      <c r="F14" s="242"/>
      <c r="G14" s="518"/>
      <c r="H14" s="242"/>
      <c r="I14" s="118"/>
    </row>
    <row r="15" spans="2:9" x14ac:dyDescent="0.15">
      <c r="B15" s="514"/>
      <c r="C15" s="517"/>
      <c r="D15" s="119" t="str">
        <f>団体戦!E3</f>
        <v>福田　隆人</v>
      </c>
      <c r="E15" s="519"/>
      <c r="F15" s="243"/>
      <c r="G15" s="519"/>
      <c r="H15" s="243"/>
      <c r="I15" s="118"/>
    </row>
    <row r="16" spans="2:9" ht="23.25" thickBot="1" x14ac:dyDescent="0.2">
      <c r="B16" s="515"/>
      <c r="C16" s="120">
        <f>団体戦!I3</f>
        <v>1796.3</v>
      </c>
      <c r="D16" s="121" t="str">
        <f>団体戦!G3</f>
        <v>田邉　陸玖</v>
      </c>
      <c r="E16" s="244"/>
      <c r="F16" s="245"/>
      <c r="G16" s="244"/>
      <c r="H16" s="245"/>
      <c r="I16" s="122"/>
    </row>
    <row r="17" spans="2:9" hidden="1" x14ac:dyDescent="0.15">
      <c r="B17" s="514" t="s">
        <v>9</v>
      </c>
      <c r="C17" s="516" t="str">
        <f>団体戦!B7</f>
        <v>関有知A</v>
      </c>
      <c r="D17" s="117" t="e">
        <f>団体戦!C7</f>
        <v>#N/A</v>
      </c>
      <c r="E17" s="518"/>
      <c r="F17" s="242"/>
      <c r="G17" s="518"/>
      <c r="H17" s="242"/>
      <c r="I17" s="123"/>
    </row>
    <row r="18" spans="2:9" hidden="1" x14ac:dyDescent="0.15">
      <c r="B18" s="514"/>
      <c r="C18" s="517"/>
      <c r="D18" s="119" t="e">
        <f>団体戦!E7</f>
        <v>#N/A</v>
      </c>
      <c r="E18" s="519"/>
      <c r="F18" s="243"/>
      <c r="G18" s="519"/>
      <c r="H18" s="243"/>
      <c r="I18" s="118"/>
    </row>
    <row r="19" spans="2:9" ht="23.25" hidden="1" thickBot="1" x14ac:dyDescent="0.2">
      <c r="B19" s="515"/>
      <c r="C19" s="120"/>
      <c r="D19" s="121" t="e">
        <f>団体戦!G7</f>
        <v>#N/A</v>
      </c>
      <c r="E19" s="244"/>
      <c r="F19" s="245"/>
      <c r="G19" s="244"/>
      <c r="H19" s="245"/>
      <c r="I19" s="122"/>
    </row>
    <row r="20" spans="2:9" x14ac:dyDescent="0.15">
      <c r="B20" s="31"/>
      <c r="C20" s="31"/>
      <c r="D20" s="240"/>
      <c r="E20" s="31"/>
      <c r="F20" s="31"/>
      <c r="G20" s="31"/>
      <c r="H20" s="31"/>
    </row>
    <row r="21" spans="2:9" ht="23.25" hidden="1" thickBot="1" x14ac:dyDescent="0.2">
      <c r="B21" s="115" t="s">
        <v>146</v>
      </c>
      <c r="C21" s="105"/>
      <c r="F21" s="31"/>
      <c r="G21" s="31"/>
      <c r="H21" s="31"/>
    </row>
    <row r="22" spans="2:9" ht="23.25" hidden="1" thickBot="1" x14ac:dyDescent="0.2">
      <c r="B22" s="106"/>
      <c r="C22" s="106">
        <v>1</v>
      </c>
      <c r="D22" s="107" t="s">
        <v>40</v>
      </c>
      <c r="E22" s="106">
        <v>2</v>
      </c>
      <c r="F22" s="107" t="s">
        <v>40</v>
      </c>
      <c r="G22" s="106">
        <v>3</v>
      </c>
      <c r="H22" s="107" t="s">
        <v>40</v>
      </c>
      <c r="I22" s="108" t="s">
        <v>12</v>
      </c>
    </row>
    <row r="23" spans="2:9" hidden="1" x14ac:dyDescent="0.15">
      <c r="B23" s="508" t="s">
        <v>10</v>
      </c>
      <c r="C23" s="109" t="str">
        <f>'AP予選 '!D13</f>
        <v>徳田　恭実</v>
      </c>
      <c r="D23" s="520">
        <f>'AP予選 '!M13</f>
        <v>0</v>
      </c>
      <c r="E23" s="109" t="str">
        <f>'AP予選 '!D14</f>
        <v>田邉陸玖</v>
      </c>
      <c r="F23" s="520">
        <f>'AP予選 '!M14</f>
        <v>0</v>
      </c>
      <c r="G23" s="252"/>
      <c r="H23" s="525"/>
      <c r="I23" s="110"/>
    </row>
    <row r="24" spans="2:9" ht="23.25" hidden="1" thickBot="1" x14ac:dyDescent="0.2">
      <c r="B24" s="509"/>
      <c r="C24" s="111" t="str">
        <f>'AP予選 '!E13</f>
        <v>済美A</v>
      </c>
      <c r="D24" s="521"/>
      <c r="E24" s="111" t="str">
        <f>'AP予選 '!E14</f>
        <v>済美A</v>
      </c>
      <c r="F24" s="522"/>
      <c r="G24" s="341"/>
      <c r="H24" s="526"/>
      <c r="I24" s="112"/>
    </row>
    <row r="25" spans="2:9" hidden="1" x14ac:dyDescent="0.15">
      <c r="B25" s="508" t="s">
        <v>9</v>
      </c>
      <c r="C25" s="252"/>
      <c r="D25" s="510"/>
      <c r="E25" s="252"/>
      <c r="F25" s="512"/>
      <c r="G25" s="252"/>
      <c r="H25" s="512"/>
      <c r="I25" s="113"/>
    </row>
    <row r="26" spans="2:9" ht="23.25" hidden="1" thickBot="1" x14ac:dyDescent="0.2">
      <c r="B26" s="509"/>
      <c r="C26" s="253"/>
      <c r="D26" s="511"/>
      <c r="E26" s="253"/>
      <c r="F26" s="513"/>
      <c r="G26" s="253"/>
      <c r="H26" s="513"/>
      <c r="I26" s="112"/>
    </row>
    <row r="27" spans="2:9" x14ac:dyDescent="0.15">
      <c r="B27" s="31"/>
      <c r="C27" s="31"/>
      <c r="D27" s="240"/>
      <c r="E27" s="31"/>
      <c r="F27" s="31"/>
      <c r="G27" s="31"/>
      <c r="H27" s="31"/>
    </row>
    <row r="28" spans="2:9" ht="23.25" hidden="1" thickBot="1" x14ac:dyDescent="0.2">
      <c r="B28" s="30" t="s">
        <v>172</v>
      </c>
      <c r="C28" s="115"/>
      <c r="D28" s="115"/>
      <c r="E28" s="115"/>
      <c r="F28" s="115"/>
    </row>
    <row r="29" spans="2:9" ht="23.25" hidden="1" thickBot="1" x14ac:dyDescent="0.2">
      <c r="B29" s="106"/>
      <c r="C29" s="106">
        <v>1</v>
      </c>
      <c r="D29" s="107" t="s">
        <v>40</v>
      </c>
      <c r="E29" s="106">
        <v>2</v>
      </c>
      <c r="F29" s="107" t="s">
        <v>40</v>
      </c>
      <c r="G29" s="106">
        <v>3</v>
      </c>
      <c r="H29" s="107" t="s">
        <v>40</v>
      </c>
      <c r="I29" s="108" t="s">
        <v>12</v>
      </c>
    </row>
    <row r="30" spans="2:9" hidden="1" x14ac:dyDescent="0.15">
      <c r="B30" s="514" t="s">
        <v>10</v>
      </c>
      <c r="C30" s="254" t="str">
        <f>テーブル1115[チーム名]</f>
        <v>済美A</v>
      </c>
      <c r="D30" s="117" t="str">
        <f>テーブル1115[氏　　名]</f>
        <v>徳田　恭実</v>
      </c>
      <c r="E30" s="241"/>
      <c r="F30" s="242"/>
      <c r="G30" s="241"/>
      <c r="H30" s="242"/>
      <c r="I30" s="118"/>
    </row>
    <row r="31" spans="2:9" ht="23.25" hidden="1" thickBot="1" x14ac:dyDescent="0.2">
      <c r="B31" s="515"/>
      <c r="C31" s="120">
        <f>テーブル1115[合計点]</f>
        <v>0</v>
      </c>
      <c r="D31" s="121" t="str">
        <f>テーブル1115[氏　　名2]</f>
        <v>田邉陸玖</v>
      </c>
      <c r="E31" s="244"/>
      <c r="F31" s="245"/>
      <c r="G31" s="244"/>
      <c r="H31" s="245"/>
      <c r="I31" s="122"/>
    </row>
    <row r="32" spans="2:9" x14ac:dyDescent="0.15">
      <c r="B32" s="124"/>
      <c r="C32" s="124"/>
      <c r="D32" s="124"/>
      <c r="E32" s="124"/>
      <c r="F32" s="124"/>
      <c r="G32" s="124"/>
      <c r="H32" s="124"/>
      <c r="I32" s="125"/>
    </row>
    <row r="33" spans="2:9" x14ac:dyDescent="0.15">
      <c r="B33" s="30" t="s">
        <v>13</v>
      </c>
      <c r="C33" s="30" t="s">
        <v>28</v>
      </c>
      <c r="F33" s="114" t="s">
        <v>148</v>
      </c>
      <c r="G33" s="114"/>
      <c r="H33" s="115" t="s">
        <v>207</v>
      </c>
    </row>
    <row r="34" spans="2:9" x14ac:dyDescent="0.15">
      <c r="B34" s="30" t="s">
        <v>11</v>
      </c>
      <c r="I34" s="30" t="s">
        <v>175</v>
      </c>
    </row>
    <row r="35" spans="2:9" x14ac:dyDescent="0.15">
      <c r="B35" s="31"/>
      <c r="C35" s="105"/>
      <c r="F35" s="31"/>
      <c r="G35" s="31"/>
      <c r="H35" s="31"/>
    </row>
    <row r="36" spans="2:9" x14ac:dyDescent="0.15">
      <c r="B36" s="495" t="s">
        <v>171</v>
      </c>
      <c r="C36" s="495"/>
      <c r="D36" s="495"/>
      <c r="E36" s="495"/>
      <c r="F36" s="495"/>
      <c r="G36" s="495"/>
      <c r="H36" s="495"/>
      <c r="I36" s="495"/>
    </row>
    <row r="37" spans="2:9" x14ac:dyDescent="0.15">
      <c r="B37" s="31"/>
      <c r="C37" s="105"/>
      <c r="F37" s="31"/>
      <c r="G37" s="31"/>
      <c r="H37" s="31"/>
    </row>
    <row r="38" spans="2:9" x14ac:dyDescent="0.15">
      <c r="B38" s="154">
        <v>46313</v>
      </c>
      <c r="C38" s="49">
        <f>WEEKDAY(B38)</f>
        <v>1</v>
      </c>
      <c r="D38" s="115" t="str">
        <f>BR予選!E5</f>
        <v>済美高等学校射撃場</v>
      </c>
      <c r="E38" s="115"/>
      <c r="F38" s="527"/>
      <c r="G38" s="528"/>
      <c r="H38" s="528"/>
      <c r="I38" s="528"/>
    </row>
    <row r="39" spans="2:9" x14ac:dyDescent="0.15">
      <c r="B39" s="31"/>
      <c r="C39" s="105"/>
      <c r="F39" s="528"/>
      <c r="G39" s="528"/>
      <c r="H39" s="528"/>
      <c r="I39" s="528"/>
    </row>
    <row r="40" spans="2:9" ht="23.25" thickBot="1" x14ac:dyDescent="0.2">
      <c r="B40" s="30" t="s">
        <v>42</v>
      </c>
      <c r="C40" s="115"/>
      <c r="D40" s="115"/>
      <c r="E40" s="115"/>
      <c r="F40" s="115"/>
    </row>
    <row r="41" spans="2:9" x14ac:dyDescent="0.15">
      <c r="B41" s="106"/>
      <c r="C41" s="106">
        <v>1</v>
      </c>
      <c r="D41" s="107" t="s">
        <v>40</v>
      </c>
      <c r="E41" s="106">
        <v>2</v>
      </c>
      <c r="F41" s="107" t="s">
        <v>40</v>
      </c>
      <c r="G41" s="106">
        <v>3</v>
      </c>
      <c r="H41" s="107" t="s">
        <v>40</v>
      </c>
      <c r="I41" s="108" t="s">
        <v>12</v>
      </c>
    </row>
    <row r="42" spans="2:9" x14ac:dyDescent="0.15">
      <c r="B42" s="514" t="s">
        <v>10</v>
      </c>
      <c r="C42" s="516" t="str">
        <f>団体戦!B16</f>
        <v>済美A</v>
      </c>
      <c r="D42" s="117" t="str">
        <f>団体戦!C16</f>
        <v>井口　蒼太</v>
      </c>
      <c r="E42" s="516" t="str">
        <f>団体戦!B17</f>
        <v>済美B</v>
      </c>
      <c r="F42" s="117" t="str">
        <f>団体戦!C17</f>
        <v>玉木　心晴</v>
      </c>
      <c r="G42" s="516" t="str">
        <f>団体戦!B18</f>
        <v>関有知A</v>
      </c>
      <c r="H42" s="117" t="str">
        <f>団体戦!C18</f>
        <v>澤村　実槻</v>
      </c>
      <c r="I42" s="118"/>
    </row>
    <row r="43" spans="2:9" x14ac:dyDescent="0.15">
      <c r="B43" s="514"/>
      <c r="C43" s="517"/>
      <c r="D43" s="119" t="str">
        <f>団体戦!E16</f>
        <v>加藤　凜</v>
      </c>
      <c r="E43" s="517"/>
      <c r="F43" s="119" t="str">
        <f>団体戦!E17</f>
        <v>福田　隆人</v>
      </c>
      <c r="G43" s="517"/>
      <c r="H43" s="119" t="str">
        <f>団体戦!E18</f>
        <v>春日井　月暉</v>
      </c>
      <c r="I43" s="118"/>
    </row>
    <row r="44" spans="2:9" ht="23.25" thickBot="1" x14ac:dyDescent="0.2">
      <c r="B44" s="515"/>
      <c r="C44" s="120">
        <f>団体戦!I16</f>
        <v>1869.7999999999997</v>
      </c>
      <c r="D44" s="121" t="str">
        <f>団体戦!G16</f>
        <v>田邉　陸玖</v>
      </c>
      <c r="E44" s="120">
        <f>団体戦!I17</f>
        <v>1828.9</v>
      </c>
      <c r="F44" s="121" t="str">
        <f>団体戦!G17</f>
        <v>森嶋　礼真</v>
      </c>
      <c r="G44" s="120">
        <f>団体戦!I18</f>
        <v>1782.3</v>
      </c>
      <c r="H44" s="121" t="str">
        <f>団体戦!G18</f>
        <v>永澤　京誠</v>
      </c>
      <c r="I44" s="122"/>
    </row>
    <row r="45" spans="2:9" x14ac:dyDescent="0.15">
      <c r="B45" s="514" t="s">
        <v>9</v>
      </c>
      <c r="C45" s="516" t="str">
        <f>団体戦!B24</f>
        <v>済美A</v>
      </c>
      <c r="D45" s="117" t="str">
        <f>団体戦!C24</f>
        <v>河出　菜欧美</v>
      </c>
      <c r="E45" s="516" t="str">
        <f>団体戦!B25</f>
        <v>済美B</v>
      </c>
      <c r="F45" s="117" t="str">
        <f>団体戦!C25</f>
        <v>杉下　百花</v>
      </c>
      <c r="G45" s="516" t="str">
        <f>団体戦!B26</f>
        <v>関有知A</v>
      </c>
      <c r="H45" s="117" t="str">
        <f>団体戦!C26</f>
        <v>吉田　実咲希</v>
      </c>
      <c r="I45" s="123"/>
    </row>
    <row r="46" spans="2:9" x14ac:dyDescent="0.15">
      <c r="B46" s="514"/>
      <c r="C46" s="517"/>
      <c r="D46" s="119" t="str">
        <f>団体戦!E24</f>
        <v>田中　玲衣</v>
      </c>
      <c r="E46" s="517"/>
      <c r="F46" s="119" t="str">
        <f>団体戦!E25</f>
        <v>木田　裕乃</v>
      </c>
      <c r="G46" s="517"/>
      <c r="H46" s="119" t="str">
        <f>団体戦!E26</f>
        <v>後藤　小日芽</v>
      </c>
      <c r="I46" s="118"/>
    </row>
    <row r="47" spans="2:9" ht="23.25" thickBot="1" x14ac:dyDescent="0.2">
      <c r="B47" s="515"/>
      <c r="C47" s="120">
        <f>団体戦!I24</f>
        <v>1840.9</v>
      </c>
      <c r="D47" s="121" t="str">
        <f>団体戦!G24</f>
        <v>杉山　碧依</v>
      </c>
      <c r="E47" s="120">
        <f>団体戦!I25</f>
        <v>1816.6</v>
      </c>
      <c r="F47" s="121" t="str">
        <f>団体戦!G25</f>
        <v>梶川　結妃</v>
      </c>
      <c r="G47" s="120">
        <f>団体戦!I26</f>
        <v>1747.1999999999998</v>
      </c>
      <c r="H47" s="121" t="str">
        <f>団体戦!G26</f>
        <v>押田　雪那</v>
      </c>
      <c r="I47" s="122"/>
    </row>
    <row r="48" spans="2:9" x14ac:dyDescent="0.15">
      <c r="B48" s="31"/>
      <c r="C48" s="105"/>
      <c r="F48" s="31"/>
      <c r="G48" s="31"/>
      <c r="H48" s="31"/>
    </row>
    <row r="49" spans="2:9" ht="23.25" thickBot="1" x14ac:dyDescent="0.2">
      <c r="B49" s="30" t="s">
        <v>43</v>
      </c>
      <c r="C49" s="105"/>
      <c r="F49" s="31"/>
      <c r="G49" s="31"/>
      <c r="H49" s="31"/>
    </row>
    <row r="50" spans="2:9" ht="23.25" thickBot="1" x14ac:dyDescent="0.2">
      <c r="B50" s="106"/>
      <c r="C50" s="106">
        <v>1</v>
      </c>
      <c r="D50" s="107" t="s">
        <v>40</v>
      </c>
      <c r="E50" s="106">
        <v>2</v>
      </c>
      <c r="F50" s="107" t="s">
        <v>40</v>
      </c>
      <c r="G50" s="106">
        <v>3</v>
      </c>
      <c r="H50" s="107" t="s">
        <v>40</v>
      </c>
      <c r="I50" s="108" t="s">
        <v>12</v>
      </c>
    </row>
    <row r="51" spans="2:9" x14ac:dyDescent="0.15">
      <c r="B51" s="508" t="s">
        <v>10</v>
      </c>
      <c r="C51" s="109" t="str">
        <f>BR予選!D13</f>
        <v>加藤　凜</v>
      </c>
      <c r="D51" s="520">
        <f>BR予選!M13</f>
        <v>627.19999999999993</v>
      </c>
      <c r="E51" s="109" t="str">
        <f>BR予選!D14</f>
        <v>井口　蒼太</v>
      </c>
      <c r="F51" s="520">
        <f>BR予選!M14</f>
        <v>621.9</v>
      </c>
      <c r="G51" s="109" t="str">
        <f>BR予選!D15</f>
        <v>春日井　月暉</v>
      </c>
      <c r="H51" s="520">
        <f>BR予選!M15</f>
        <v>620.9</v>
      </c>
      <c r="I51" s="110"/>
    </row>
    <row r="52" spans="2:9" ht="23.25" thickBot="1" x14ac:dyDescent="0.2">
      <c r="B52" s="509"/>
      <c r="C52" s="111" t="str">
        <f>BR予選!E13</f>
        <v>済美A</v>
      </c>
      <c r="D52" s="522"/>
      <c r="E52" s="111" t="str">
        <f>BR予選!E14</f>
        <v>済美A</v>
      </c>
      <c r="F52" s="522"/>
      <c r="G52" s="111" t="str">
        <f>BR予選!E15</f>
        <v>関有知A</v>
      </c>
      <c r="H52" s="522"/>
      <c r="I52" s="112"/>
    </row>
    <row r="53" spans="2:9" x14ac:dyDescent="0.15">
      <c r="B53" s="508" t="s">
        <v>9</v>
      </c>
      <c r="C53" s="109" t="str">
        <f>BR予選!D32</f>
        <v>河出　菜欧美</v>
      </c>
      <c r="D53" s="520">
        <f>BR予選!M32</f>
        <v>616.5</v>
      </c>
      <c r="E53" s="109" t="str">
        <f>BR予選!D33</f>
        <v>田中　玲衣</v>
      </c>
      <c r="F53" s="520">
        <f>BR予選!M33</f>
        <v>614.9</v>
      </c>
      <c r="G53" s="109" t="str">
        <f>BR予選!D34</f>
        <v>杉山　碧依</v>
      </c>
      <c r="H53" s="520">
        <f>BR予選!M34</f>
        <v>609.5</v>
      </c>
      <c r="I53" s="113"/>
    </row>
    <row r="54" spans="2:9" ht="23.25" thickBot="1" x14ac:dyDescent="0.2">
      <c r="B54" s="509"/>
      <c r="C54" s="111" t="str">
        <f>BR予選!E32</f>
        <v>済美A</v>
      </c>
      <c r="D54" s="522"/>
      <c r="E54" s="111" t="str">
        <f>BR予選!E33</f>
        <v>済美A</v>
      </c>
      <c r="F54" s="522"/>
      <c r="G54" s="111" t="str">
        <f>BR予選!E34</f>
        <v>済美A</v>
      </c>
      <c r="H54" s="522"/>
      <c r="I54" s="112"/>
    </row>
    <row r="55" spans="2:9" x14ac:dyDescent="0.15">
      <c r="B55" s="31"/>
      <c r="C55" s="105"/>
      <c r="F55" s="31"/>
      <c r="G55" s="31"/>
      <c r="H55" s="31"/>
    </row>
    <row r="56" spans="2:9" ht="23.25" thickBot="1" x14ac:dyDescent="0.2">
      <c r="B56" s="30" t="s">
        <v>82</v>
      </c>
      <c r="C56" s="115"/>
      <c r="D56" s="115"/>
      <c r="E56" s="115"/>
      <c r="F56" s="115"/>
    </row>
    <row r="57" spans="2:9" ht="23.25" thickBot="1" x14ac:dyDescent="0.2">
      <c r="B57" s="106"/>
      <c r="C57" s="106">
        <v>1</v>
      </c>
      <c r="D57" s="107" t="s">
        <v>40</v>
      </c>
      <c r="E57" s="106">
        <v>2</v>
      </c>
      <c r="F57" s="107" t="s">
        <v>40</v>
      </c>
      <c r="G57" s="106">
        <v>3</v>
      </c>
      <c r="H57" s="107" t="s">
        <v>40</v>
      </c>
      <c r="I57" s="108" t="s">
        <v>12</v>
      </c>
    </row>
    <row r="58" spans="2:9" x14ac:dyDescent="0.15">
      <c r="B58" s="514" t="s">
        <v>10</v>
      </c>
      <c r="C58" s="116" t="str">
        <f>団体戦!B32</f>
        <v>済美A</v>
      </c>
      <c r="D58" s="117" t="str">
        <f>団体戦!C32</f>
        <v>德田　恭実</v>
      </c>
      <c r="E58" s="116" t="str">
        <f>団体戦!B33</f>
        <v>関有知A</v>
      </c>
      <c r="F58" s="117" t="str">
        <f>団体戦!C33</f>
        <v>山田　流空</v>
      </c>
      <c r="G58" s="116" t="str">
        <f>団体戦!B34</f>
        <v>大垣日大A</v>
      </c>
      <c r="H58" s="117" t="str">
        <f>団体戦!C34</f>
        <v>加納　陸翔</v>
      </c>
      <c r="I58" s="118"/>
    </row>
    <row r="59" spans="2:9" ht="23.25" thickBot="1" x14ac:dyDescent="0.2">
      <c r="B59" s="515"/>
      <c r="C59" s="120">
        <f>団体戦!I32</f>
        <v>1048</v>
      </c>
      <c r="D59" s="121" t="str">
        <f>団体戦!E32</f>
        <v>蓑島　康太</v>
      </c>
      <c r="E59" s="120">
        <f>団体戦!I33</f>
        <v>991</v>
      </c>
      <c r="F59" s="121" t="str">
        <f>団体戦!E33</f>
        <v>西村　翔真</v>
      </c>
      <c r="G59" s="120">
        <f>団体戦!I34</f>
        <v>950</v>
      </c>
      <c r="H59" s="121" t="str">
        <f>団体戦!E34</f>
        <v>田上　力一</v>
      </c>
      <c r="I59" s="122"/>
    </row>
    <row r="60" spans="2:9" x14ac:dyDescent="0.15">
      <c r="B60" s="514" t="s">
        <v>9</v>
      </c>
      <c r="C60" s="116" t="str">
        <f>団体戦!B40</f>
        <v>大垣日大A</v>
      </c>
      <c r="D60" s="117" t="str">
        <f>団体戦!C40</f>
        <v>角　　律希</v>
      </c>
      <c r="E60" s="116" t="str">
        <f>団体戦!B41</f>
        <v>大垣日大B</v>
      </c>
      <c r="F60" s="117" t="str">
        <f>団体戦!C41</f>
        <v>藤江　香澄</v>
      </c>
      <c r="G60" s="116" t="str">
        <f>団体戦!B42</f>
        <v>鶯谷A</v>
      </c>
      <c r="H60" s="117" t="str">
        <f>団体戦!C42</f>
        <v>藤井　音緒</v>
      </c>
      <c r="I60" s="118"/>
    </row>
    <row r="61" spans="2:9" ht="23.25" thickBot="1" x14ac:dyDescent="0.2">
      <c r="B61" s="515"/>
      <c r="C61" s="120">
        <f>団体戦!I40</f>
        <v>977</v>
      </c>
      <c r="D61" s="121" t="str">
        <f>団体戦!E40</f>
        <v>関　　希</v>
      </c>
      <c r="E61" s="120">
        <f>団体戦!I41</f>
        <v>870</v>
      </c>
      <c r="F61" s="121" t="str">
        <f>団体戦!E41</f>
        <v>佐竹　結衣</v>
      </c>
      <c r="G61" s="120">
        <f>団体戦!I42</f>
        <v>828</v>
      </c>
      <c r="H61" s="121" t="str">
        <f>団体戦!E42</f>
        <v>東　莉杏</v>
      </c>
      <c r="I61" s="122"/>
    </row>
    <row r="62" spans="2:9" x14ac:dyDescent="0.15">
      <c r="B62" s="124"/>
      <c r="C62" s="124"/>
      <c r="D62" s="124"/>
      <c r="E62" s="124"/>
      <c r="F62" s="124"/>
      <c r="G62" s="124"/>
      <c r="H62" s="124"/>
      <c r="I62" s="125"/>
    </row>
    <row r="63" spans="2:9" ht="23.25" thickBot="1" x14ac:dyDescent="0.2">
      <c r="B63" s="30" t="s">
        <v>81</v>
      </c>
      <c r="C63" s="105"/>
      <c r="F63" s="31"/>
      <c r="G63" s="31"/>
      <c r="H63" s="31"/>
    </row>
    <row r="64" spans="2:9" ht="23.25" thickBot="1" x14ac:dyDescent="0.2">
      <c r="B64" s="106"/>
      <c r="C64" s="106">
        <v>1</v>
      </c>
      <c r="D64" s="107" t="s">
        <v>40</v>
      </c>
      <c r="E64" s="106">
        <v>2</v>
      </c>
      <c r="F64" s="107" t="s">
        <v>40</v>
      </c>
      <c r="G64" s="106">
        <v>3</v>
      </c>
      <c r="H64" s="107" t="s">
        <v>40</v>
      </c>
      <c r="I64" s="108" t="s">
        <v>12</v>
      </c>
    </row>
    <row r="65" spans="2:9" x14ac:dyDescent="0.15">
      <c r="B65" s="514" t="s">
        <v>10</v>
      </c>
      <c r="C65" s="126" t="str">
        <f>BP予選!E13</f>
        <v>德田　恭実</v>
      </c>
      <c r="D65" s="529">
        <f>BP予選!N13</f>
        <v>543</v>
      </c>
      <c r="E65" s="126" t="str">
        <f>BP予選!E14</f>
        <v>田邉　陸玖</v>
      </c>
      <c r="F65" s="529">
        <f>BP予選!N14</f>
        <v>542</v>
      </c>
      <c r="G65" s="126" t="str">
        <f>BP予選!E15</f>
        <v>西村　翔真</v>
      </c>
      <c r="H65" s="529">
        <f>BP予選!N15</f>
        <v>506</v>
      </c>
      <c r="I65" s="118"/>
    </row>
    <row r="66" spans="2:9" ht="23.25" thickBot="1" x14ac:dyDescent="0.2">
      <c r="B66" s="515"/>
      <c r="C66" s="127" t="str">
        <f>BP予選!F13</f>
        <v>済美A</v>
      </c>
      <c r="D66" s="530"/>
      <c r="E66" s="127" t="str">
        <f>BP予選!F14</f>
        <v>済美</v>
      </c>
      <c r="F66" s="530"/>
      <c r="G66" s="127" t="str">
        <f>BP予選!F15</f>
        <v>関有知A</v>
      </c>
      <c r="H66" s="530"/>
      <c r="I66" s="122"/>
    </row>
    <row r="67" spans="2:9" x14ac:dyDescent="0.15">
      <c r="B67" s="514" t="s">
        <v>9</v>
      </c>
      <c r="C67" s="126" t="str">
        <f>BP予選!E29</f>
        <v>柚木　紹</v>
      </c>
      <c r="D67" s="529">
        <f>BP予選!N29</f>
        <v>543</v>
      </c>
      <c r="E67" s="126" t="str">
        <f>BP予選!E30</f>
        <v>古田聖莉奈</v>
      </c>
      <c r="F67" s="529">
        <f>BP予選!N30</f>
        <v>517</v>
      </c>
      <c r="G67" s="126" t="str">
        <f>BP予選!E31</f>
        <v>角　　律希</v>
      </c>
      <c r="H67" s="529">
        <f>BP予選!N31</f>
        <v>513</v>
      </c>
      <c r="I67" s="123"/>
    </row>
    <row r="68" spans="2:9" ht="23.25" thickBot="1" x14ac:dyDescent="0.2">
      <c r="B68" s="515"/>
      <c r="C68" s="127" t="str">
        <f>BP予選!F29</f>
        <v>済美</v>
      </c>
      <c r="D68" s="530"/>
      <c r="E68" s="127" t="str">
        <f>BP予選!F30</f>
        <v>関有知</v>
      </c>
      <c r="F68" s="530"/>
      <c r="G68" s="127" t="str">
        <f>BP予選!F31</f>
        <v>大垣日大A</v>
      </c>
      <c r="H68" s="530"/>
      <c r="I68" s="122"/>
    </row>
    <row r="69" spans="2:9" x14ac:dyDescent="0.15">
      <c r="B69" s="31"/>
      <c r="C69" s="105"/>
      <c r="F69" s="31"/>
      <c r="G69" s="31"/>
      <c r="H69" s="31"/>
    </row>
    <row r="70" spans="2:9" x14ac:dyDescent="0.15">
      <c r="B70" s="30" t="s">
        <v>13</v>
      </c>
      <c r="C70" s="30" t="s">
        <v>28</v>
      </c>
      <c r="F70" s="114" t="s">
        <v>148</v>
      </c>
      <c r="G70" s="114"/>
      <c r="H70" s="115" t="s">
        <v>207</v>
      </c>
    </row>
  </sheetData>
  <mergeCells count="54">
    <mergeCell ref="B67:B68"/>
    <mergeCell ref="D67:D68"/>
    <mergeCell ref="F67:F68"/>
    <mergeCell ref="H67:H68"/>
    <mergeCell ref="F51:F52"/>
    <mergeCell ref="B65:B66"/>
    <mergeCell ref="D65:D66"/>
    <mergeCell ref="F65:F66"/>
    <mergeCell ref="H65:H66"/>
    <mergeCell ref="B23:B24"/>
    <mergeCell ref="F23:F24"/>
    <mergeCell ref="H23:H24"/>
    <mergeCell ref="B60:B61"/>
    <mergeCell ref="B45:B47"/>
    <mergeCell ref="C45:C46"/>
    <mergeCell ref="E45:E46"/>
    <mergeCell ref="B58:B59"/>
    <mergeCell ref="B51:B52"/>
    <mergeCell ref="D51:D52"/>
    <mergeCell ref="B53:B54"/>
    <mergeCell ref="D53:D54"/>
    <mergeCell ref="F53:F54"/>
    <mergeCell ref="H53:H54"/>
    <mergeCell ref="F38:I39"/>
    <mergeCell ref="G45:G46"/>
    <mergeCell ref="D23:D24"/>
    <mergeCell ref="H51:H52"/>
    <mergeCell ref="B3:I3"/>
    <mergeCell ref="B42:B44"/>
    <mergeCell ref="C42:C43"/>
    <mergeCell ref="E42:E43"/>
    <mergeCell ref="G42:G43"/>
    <mergeCell ref="B36:I36"/>
    <mergeCell ref="B7:B8"/>
    <mergeCell ref="D7:D8"/>
    <mergeCell ref="F7:F8"/>
    <mergeCell ref="H7:H8"/>
    <mergeCell ref="B9:B10"/>
    <mergeCell ref="D9:D10"/>
    <mergeCell ref="F9:F10"/>
    <mergeCell ref="H9:H10"/>
    <mergeCell ref="B14:B16"/>
    <mergeCell ref="C14:C15"/>
    <mergeCell ref="E14:E15"/>
    <mergeCell ref="G14:G15"/>
    <mergeCell ref="B17:B19"/>
    <mergeCell ref="C17:C18"/>
    <mergeCell ref="E17:E18"/>
    <mergeCell ref="G17:G18"/>
    <mergeCell ref="B25:B26"/>
    <mergeCell ref="D25:D26"/>
    <mergeCell ref="F25:F26"/>
    <mergeCell ref="H25:H26"/>
    <mergeCell ref="B30:B31"/>
  </mergeCells>
  <phoneticPr fontId="1"/>
  <printOptions horizontalCentered="1"/>
  <pageMargins left="0" right="0" top="0.78740157480314965" bottom="0" header="0" footer="0"/>
  <pageSetup paperSize="9" scale="68" fitToHeight="2" orientation="landscape" r:id="rId1"/>
  <headerFooter alignWithMargins="0"/>
  <rowBreaks count="1" manualBreakCount="1">
    <brk id="33" min="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58CB-69A9-47A1-9944-0F446877D37A}">
  <sheetPr>
    <tabColor rgb="FF7030A0"/>
    <pageSetUpPr fitToPage="1"/>
  </sheetPr>
  <dimension ref="A1:AB24"/>
  <sheetViews>
    <sheetView view="pageBreakPreview" zoomScale="70" zoomScaleNormal="85" zoomScaleSheetLayoutView="70" workbookViewId="0">
      <selection activeCell="N14" sqref="N14"/>
    </sheetView>
  </sheetViews>
  <sheetFormatPr defaultRowHeight="13.5" x14ac:dyDescent="0.15"/>
  <cols>
    <col min="1" max="1" width="9" style="368"/>
    <col min="2" max="2" width="17.125" style="368" customWidth="1"/>
    <col min="3" max="8" width="12.5" style="368" customWidth="1"/>
    <col min="9" max="27" width="9" style="368"/>
    <col min="28" max="28" width="3.375" style="368" bestFit="1" customWidth="1"/>
    <col min="29" max="258" width="9" style="368"/>
    <col min="259" max="259" width="17.125" style="368" customWidth="1"/>
    <col min="260" max="264" width="12.5" style="368" customWidth="1"/>
    <col min="265" max="514" width="9" style="368"/>
    <col min="515" max="515" width="17.125" style="368" customWidth="1"/>
    <col min="516" max="520" width="12.5" style="368" customWidth="1"/>
    <col min="521" max="770" width="9" style="368"/>
    <col min="771" max="771" width="17.125" style="368" customWidth="1"/>
    <col min="772" max="776" width="12.5" style="368" customWidth="1"/>
    <col min="777" max="1026" width="9" style="368"/>
    <col min="1027" max="1027" width="17.125" style="368" customWidth="1"/>
    <col min="1028" max="1032" width="12.5" style="368" customWidth="1"/>
    <col min="1033" max="1282" width="9" style="368"/>
    <col min="1283" max="1283" width="17.125" style="368" customWidth="1"/>
    <col min="1284" max="1288" width="12.5" style="368" customWidth="1"/>
    <col min="1289" max="1538" width="9" style="368"/>
    <col min="1539" max="1539" width="17.125" style="368" customWidth="1"/>
    <col min="1540" max="1544" width="12.5" style="368" customWidth="1"/>
    <col min="1545" max="1794" width="9" style="368"/>
    <col min="1795" max="1795" width="17.125" style="368" customWidth="1"/>
    <col min="1796" max="1800" width="12.5" style="368" customWidth="1"/>
    <col min="1801" max="2050" width="9" style="368"/>
    <col min="2051" max="2051" width="17.125" style="368" customWidth="1"/>
    <col min="2052" max="2056" width="12.5" style="368" customWidth="1"/>
    <col min="2057" max="2306" width="9" style="368"/>
    <col min="2307" max="2307" width="17.125" style="368" customWidth="1"/>
    <col min="2308" max="2312" width="12.5" style="368" customWidth="1"/>
    <col min="2313" max="2562" width="9" style="368"/>
    <col min="2563" max="2563" width="17.125" style="368" customWidth="1"/>
    <col min="2564" max="2568" width="12.5" style="368" customWidth="1"/>
    <col min="2569" max="2818" width="9" style="368"/>
    <col min="2819" max="2819" width="17.125" style="368" customWidth="1"/>
    <col min="2820" max="2824" width="12.5" style="368" customWidth="1"/>
    <col min="2825" max="3074" width="9" style="368"/>
    <col min="3075" max="3075" width="17.125" style="368" customWidth="1"/>
    <col min="3076" max="3080" width="12.5" style="368" customWidth="1"/>
    <col min="3081" max="3330" width="9" style="368"/>
    <col min="3331" max="3331" width="17.125" style="368" customWidth="1"/>
    <col min="3332" max="3336" width="12.5" style="368" customWidth="1"/>
    <col min="3337" max="3586" width="9" style="368"/>
    <col min="3587" max="3587" width="17.125" style="368" customWidth="1"/>
    <col min="3588" max="3592" width="12.5" style="368" customWidth="1"/>
    <col min="3593" max="3842" width="9" style="368"/>
    <col min="3843" max="3843" width="17.125" style="368" customWidth="1"/>
    <col min="3844" max="3848" width="12.5" style="368" customWidth="1"/>
    <col min="3849" max="4098" width="9" style="368"/>
    <col min="4099" max="4099" width="17.125" style="368" customWidth="1"/>
    <col min="4100" max="4104" width="12.5" style="368" customWidth="1"/>
    <col min="4105" max="4354" width="9" style="368"/>
    <col min="4355" max="4355" width="17.125" style="368" customWidth="1"/>
    <col min="4356" max="4360" width="12.5" style="368" customWidth="1"/>
    <col min="4361" max="4610" width="9" style="368"/>
    <col min="4611" max="4611" width="17.125" style="368" customWidth="1"/>
    <col min="4612" max="4616" width="12.5" style="368" customWidth="1"/>
    <col min="4617" max="4866" width="9" style="368"/>
    <col min="4867" max="4867" width="17.125" style="368" customWidth="1"/>
    <col min="4868" max="4872" width="12.5" style="368" customWidth="1"/>
    <col min="4873" max="5122" width="9" style="368"/>
    <col min="5123" max="5123" width="17.125" style="368" customWidth="1"/>
    <col min="5124" max="5128" width="12.5" style="368" customWidth="1"/>
    <col min="5129" max="5378" width="9" style="368"/>
    <col min="5379" max="5379" width="17.125" style="368" customWidth="1"/>
    <col min="5380" max="5384" width="12.5" style="368" customWidth="1"/>
    <col min="5385" max="5634" width="9" style="368"/>
    <col min="5635" max="5635" width="17.125" style="368" customWidth="1"/>
    <col min="5636" max="5640" width="12.5" style="368" customWidth="1"/>
    <col min="5641" max="5890" width="9" style="368"/>
    <col min="5891" max="5891" width="17.125" style="368" customWidth="1"/>
    <col min="5892" max="5896" width="12.5" style="368" customWidth="1"/>
    <col min="5897" max="6146" width="9" style="368"/>
    <col min="6147" max="6147" width="17.125" style="368" customWidth="1"/>
    <col min="6148" max="6152" width="12.5" style="368" customWidth="1"/>
    <col min="6153" max="6402" width="9" style="368"/>
    <col min="6403" max="6403" width="17.125" style="368" customWidth="1"/>
    <col min="6404" max="6408" width="12.5" style="368" customWidth="1"/>
    <col min="6409" max="6658" width="9" style="368"/>
    <col min="6659" max="6659" width="17.125" style="368" customWidth="1"/>
    <col min="6660" max="6664" width="12.5" style="368" customWidth="1"/>
    <col min="6665" max="6914" width="9" style="368"/>
    <col min="6915" max="6915" width="17.125" style="368" customWidth="1"/>
    <col min="6916" max="6920" width="12.5" style="368" customWidth="1"/>
    <col min="6921" max="7170" width="9" style="368"/>
    <col min="7171" max="7171" width="17.125" style="368" customWidth="1"/>
    <col min="7172" max="7176" width="12.5" style="368" customWidth="1"/>
    <col min="7177" max="7426" width="9" style="368"/>
    <col min="7427" max="7427" width="17.125" style="368" customWidth="1"/>
    <col min="7428" max="7432" width="12.5" style="368" customWidth="1"/>
    <col min="7433" max="7682" width="9" style="368"/>
    <col min="7683" max="7683" width="17.125" style="368" customWidth="1"/>
    <col min="7684" max="7688" width="12.5" style="368" customWidth="1"/>
    <col min="7689" max="7938" width="9" style="368"/>
    <col min="7939" max="7939" width="17.125" style="368" customWidth="1"/>
    <col min="7940" max="7944" width="12.5" style="368" customWidth="1"/>
    <col min="7945" max="8194" width="9" style="368"/>
    <col min="8195" max="8195" width="17.125" style="368" customWidth="1"/>
    <col min="8196" max="8200" width="12.5" style="368" customWidth="1"/>
    <col min="8201" max="8450" width="9" style="368"/>
    <col min="8451" max="8451" width="17.125" style="368" customWidth="1"/>
    <col min="8452" max="8456" width="12.5" style="368" customWidth="1"/>
    <col min="8457" max="8706" width="9" style="368"/>
    <col min="8707" max="8707" width="17.125" style="368" customWidth="1"/>
    <col min="8708" max="8712" width="12.5" style="368" customWidth="1"/>
    <col min="8713" max="8962" width="9" style="368"/>
    <col min="8963" max="8963" width="17.125" style="368" customWidth="1"/>
    <col min="8964" max="8968" width="12.5" style="368" customWidth="1"/>
    <col min="8969" max="9218" width="9" style="368"/>
    <col min="9219" max="9219" width="17.125" style="368" customWidth="1"/>
    <col min="9220" max="9224" width="12.5" style="368" customWidth="1"/>
    <col min="9225" max="9474" width="9" style="368"/>
    <col min="9475" max="9475" width="17.125" style="368" customWidth="1"/>
    <col min="9476" max="9480" width="12.5" style="368" customWidth="1"/>
    <col min="9481" max="9730" width="9" style="368"/>
    <col min="9731" max="9731" width="17.125" style="368" customWidth="1"/>
    <col min="9732" max="9736" width="12.5" style="368" customWidth="1"/>
    <col min="9737" max="9986" width="9" style="368"/>
    <col min="9987" max="9987" width="17.125" style="368" customWidth="1"/>
    <col min="9988" max="9992" width="12.5" style="368" customWidth="1"/>
    <col min="9993" max="10242" width="9" style="368"/>
    <col min="10243" max="10243" width="17.125" style="368" customWidth="1"/>
    <col min="10244" max="10248" width="12.5" style="368" customWidth="1"/>
    <col min="10249" max="10498" width="9" style="368"/>
    <col min="10499" max="10499" width="17.125" style="368" customWidth="1"/>
    <col min="10500" max="10504" width="12.5" style="368" customWidth="1"/>
    <col min="10505" max="10754" width="9" style="368"/>
    <col min="10755" max="10755" width="17.125" style="368" customWidth="1"/>
    <col min="10756" max="10760" width="12.5" style="368" customWidth="1"/>
    <col min="10761" max="11010" width="9" style="368"/>
    <col min="11011" max="11011" width="17.125" style="368" customWidth="1"/>
    <col min="11012" max="11016" width="12.5" style="368" customWidth="1"/>
    <col min="11017" max="11266" width="9" style="368"/>
    <col min="11267" max="11267" width="17.125" style="368" customWidth="1"/>
    <col min="11268" max="11272" width="12.5" style="368" customWidth="1"/>
    <col min="11273" max="11522" width="9" style="368"/>
    <col min="11523" max="11523" width="17.125" style="368" customWidth="1"/>
    <col min="11524" max="11528" width="12.5" style="368" customWidth="1"/>
    <col min="11529" max="11778" width="9" style="368"/>
    <col min="11779" max="11779" width="17.125" style="368" customWidth="1"/>
    <col min="11780" max="11784" width="12.5" style="368" customWidth="1"/>
    <col min="11785" max="12034" width="9" style="368"/>
    <col min="12035" max="12035" width="17.125" style="368" customWidth="1"/>
    <col min="12036" max="12040" width="12.5" style="368" customWidth="1"/>
    <col min="12041" max="12290" width="9" style="368"/>
    <col min="12291" max="12291" width="17.125" style="368" customWidth="1"/>
    <col min="12292" max="12296" width="12.5" style="368" customWidth="1"/>
    <col min="12297" max="12546" width="9" style="368"/>
    <col min="12547" max="12547" width="17.125" style="368" customWidth="1"/>
    <col min="12548" max="12552" width="12.5" style="368" customWidth="1"/>
    <col min="12553" max="12802" width="9" style="368"/>
    <col min="12803" max="12803" width="17.125" style="368" customWidth="1"/>
    <col min="12804" max="12808" width="12.5" style="368" customWidth="1"/>
    <col min="12809" max="13058" width="9" style="368"/>
    <col min="13059" max="13059" width="17.125" style="368" customWidth="1"/>
    <col min="13060" max="13064" width="12.5" style="368" customWidth="1"/>
    <col min="13065" max="13314" width="9" style="368"/>
    <col min="13315" max="13315" width="17.125" style="368" customWidth="1"/>
    <col min="13316" max="13320" width="12.5" style="368" customWidth="1"/>
    <col min="13321" max="13570" width="9" style="368"/>
    <col min="13571" max="13571" width="17.125" style="368" customWidth="1"/>
    <col min="13572" max="13576" width="12.5" style="368" customWidth="1"/>
    <col min="13577" max="13826" width="9" style="368"/>
    <col min="13827" max="13827" width="17.125" style="368" customWidth="1"/>
    <col min="13828" max="13832" width="12.5" style="368" customWidth="1"/>
    <col min="13833" max="14082" width="9" style="368"/>
    <col min="14083" max="14083" width="17.125" style="368" customWidth="1"/>
    <col min="14084" max="14088" width="12.5" style="368" customWidth="1"/>
    <col min="14089" max="14338" width="9" style="368"/>
    <col min="14339" max="14339" width="17.125" style="368" customWidth="1"/>
    <col min="14340" max="14344" width="12.5" style="368" customWidth="1"/>
    <col min="14345" max="14594" width="9" style="368"/>
    <col min="14595" max="14595" width="17.125" style="368" customWidth="1"/>
    <col min="14596" max="14600" width="12.5" style="368" customWidth="1"/>
    <col min="14601" max="14850" width="9" style="368"/>
    <col min="14851" max="14851" width="17.125" style="368" customWidth="1"/>
    <col min="14852" max="14856" width="12.5" style="368" customWidth="1"/>
    <col min="14857" max="15106" width="9" style="368"/>
    <col min="15107" max="15107" width="17.125" style="368" customWidth="1"/>
    <col min="15108" max="15112" width="12.5" style="368" customWidth="1"/>
    <col min="15113" max="15362" width="9" style="368"/>
    <col min="15363" max="15363" width="17.125" style="368" customWidth="1"/>
    <col min="15364" max="15368" width="12.5" style="368" customWidth="1"/>
    <col min="15369" max="15618" width="9" style="368"/>
    <col min="15619" max="15619" width="17.125" style="368" customWidth="1"/>
    <col min="15620" max="15624" width="12.5" style="368" customWidth="1"/>
    <col min="15625" max="15874" width="9" style="368"/>
    <col min="15875" max="15875" width="17.125" style="368" customWidth="1"/>
    <col min="15876" max="15880" width="12.5" style="368" customWidth="1"/>
    <col min="15881" max="16130" width="9" style="368"/>
    <col min="16131" max="16131" width="17.125" style="368" customWidth="1"/>
    <col min="16132" max="16136" width="12.5" style="368" customWidth="1"/>
    <col min="16137" max="16384" width="9" style="368"/>
  </cols>
  <sheetData>
    <row r="1" spans="1:28" ht="51" customHeight="1" x14ac:dyDescent="0.15">
      <c r="A1" s="531" t="s">
        <v>352</v>
      </c>
      <c r="B1" s="531"/>
      <c r="C1" s="531"/>
      <c r="D1" s="531"/>
      <c r="E1" s="531"/>
      <c r="F1" s="531"/>
      <c r="G1" s="531"/>
      <c r="H1" s="531"/>
      <c r="I1" s="531"/>
    </row>
    <row r="2" spans="1:28" ht="29.25" customHeight="1" thickBot="1" x14ac:dyDescent="0.2">
      <c r="C2" s="532" t="s">
        <v>353</v>
      </c>
      <c r="D2" s="532"/>
      <c r="E2" s="532"/>
      <c r="F2" s="532"/>
      <c r="G2" s="532"/>
    </row>
    <row r="3" spans="1:28" ht="24" customHeight="1" thickBot="1" x14ac:dyDescent="0.2">
      <c r="A3" s="368" t="s">
        <v>106</v>
      </c>
      <c r="B3" s="369" t="s">
        <v>10</v>
      </c>
      <c r="C3" s="370" t="s">
        <v>354</v>
      </c>
      <c r="D3" s="370" t="s">
        <v>355</v>
      </c>
      <c r="E3" s="370" t="s">
        <v>356</v>
      </c>
      <c r="F3" s="370" t="s">
        <v>357</v>
      </c>
      <c r="G3" s="370" t="s">
        <v>358</v>
      </c>
      <c r="H3" s="371" t="s">
        <v>4</v>
      </c>
    </row>
    <row r="4" spans="1:28" ht="24" customHeight="1" x14ac:dyDescent="0.15">
      <c r="A4" s="368">
        <v>2</v>
      </c>
      <c r="B4" s="372" t="s">
        <v>265</v>
      </c>
      <c r="C4" s="373">
        <v>6</v>
      </c>
      <c r="D4" s="373">
        <v>0</v>
      </c>
      <c r="E4" s="373">
        <v>5</v>
      </c>
      <c r="F4" s="373">
        <v>5</v>
      </c>
      <c r="G4" s="373">
        <f>SUM(C4:F4)</f>
        <v>16</v>
      </c>
      <c r="H4" s="374">
        <f>RANK(G4,$G$4:$G$8)</f>
        <v>1</v>
      </c>
    </row>
    <row r="5" spans="1:28" ht="24" customHeight="1" x14ac:dyDescent="0.15">
      <c r="A5" s="368">
        <v>1</v>
      </c>
      <c r="B5" s="375" t="s">
        <v>359</v>
      </c>
      <c r="C5" s="376">
        <v>0</v>
      </c>
      <c r="D5" s="376">
        <v>0</v>
      </c>
      <c r="E5" s="376">
        <v>1</v>
      </c>
      <c r="F5" s="377">
        <v>1</v>
      </c>
      <c r="G5" s="377">
        <f>SUM(C5:F5)</f>
        <v>2</v>
      </c>
      <c r="H5" s="378">
        <f>RANK(G5,$G$4:$G$8)</f>
        <v>2</v>
      </c>
    </row>
    <row r="6" spans="1:28" ht="24" customHeight="1" x14ac:dyDescent="0.15">
      <c r="A6" s="368">
        <v>3</v>
      </c>
      <c r="B6" s="375" t="s">
        <v>360</v>
      </c>
      <c r="C6" s="376">
        <v>0</v>
      </c>
      <c r="D6" s="376">
        <v>0</v>
      </c>
      <c r="E6" s="376">
        <v>0</v>
      </c>
      <c r="F6" s="377">
        <v>0</v>
      </c>
      <c r="G6" s="377">
        <f>SUM(C6:F6)</f>
        <v>0</v>
      </c>
      <c r="H6" s="378">
        <f>RANK(G6,$G$4:$G$8)</f>
        <v>3</v>
      </c>
    </row>
    <row r="7" spans="1:28" ht="24" customHeight="1" x14ac:dyDescent="0.15">
      <c r="A7" s="368">
        <v>4</v>
      </c>
      <c r="B7" s="375" t="s">
        <v>224</v>
      </c>
      <c r="C7" s="376">
        <v>0</v>
      </c>
      <c r="D7" s="376">
        <v>0</v>
      </c>
      <c r="E7" s="376">
        <v>0</v>
      </c>
      <c r="F7" s="377">
        <v>0</v>
      </c>
      <c r="G7" s="377">
        <f>SUM(C7:F7)</f>
        <v>0</v>
      </c>
      <c r="H7" s="378">
        <f>RANK(G7,$G$4:$G$8)</f>
        <v>3</v>
      </c>
    </row>
    <row r="8" spans="1:28" ht="24" customHeight="1" thickBot="1" x14ac:dyDescent="0.2">
      <c r="A8" s="368">
        <v>5</v>
      </c>
      <c r="B8" s="379" t="s">
        <v>361</v>
      </c>
      <c r="C8" s="380">
        <v>0</v>
      </c>
      <c r="D8" s="380">
        <v>0</v>
      </c>
      <c r="E8" s="380">
        <v>0</v>
      </c>
      <c r="F8" s="380">
        <v>0</v>
      </c>
      <c r="G8" s="380">
        <f>SUM(C8:F8)</f>
        <v>0</v>
      </c>
      <c r="H8" s="381">
        <f>RANK(G8,$G$4:$G$8)</f>
        <v>3</v>
      </c>
    </row>
    <row r="9" spans="1:28" ht="24" customHeight="1" x14ac:dyDescent="0.15">
      <c r="A9" s="382"/>
      <c r="B9" s="383"/>
      <c r="C9" s="383"/>
      <c r="D9" s="383"/>
      <c r="E9" s="383"/>
      <c r="F9" s="383"/>
      <c r="G9" s="383"/>
      <c r="H9" s="383"/>
      <c r="I9" s="382"/>
    </row>
    <row r="10" spans="1:28" ht="24" customHeight="1" thickBot="1" x14ac:dyDescent="0.2">
      <c r="A10" s="382"/>
      <c r="B10" s="383"/>
      <c r="C10" s="383"/>
      <c r="D10" s="383"/>
      <c r="E10" s="383"/>
      <c r="F10" s="383"/>
      <c r="G10" s="383"/>
      <c r="H10" s="383"/>
      <c r="I10" s="382"/>
    </row>
    <row r="11" spans="1:28" ht="24" customHeight="1" thickBot="1" x14ac:dyDescent="0.2">
      <c r="A11" s="382" t="s">
        <v>106</v>
      </c>
      <c r="B11" s="369" t="s">
        <v>9</v>
      </c>
      <c r="C11" s="370" t="s">
        <v>354</v>
      </c>
      <c r="D11" s="370" t="s">
        <v>355</v>
      </c>
      <c r="E11" s="370" t="s">
        <v>356</v>
      </c>
      <c r="F11" s="370" t="s">
        <v>357</v>
      </c>
      <c r="G11" s="370" t="s">
        <v>358</v>
      </c>
      <c r="H11" s="371" t="s">
        <v>4</v>
      </c>
      <c r="I11" s="382"/>
    </row>
    <row r="12" spans="1:28" ht="24" customHeight="1" x14ac:dyDescent="0.15">
      <c r="A12" s="368">
        <v>3</v>
      </c>
      <c r="B12" s="372" t="s">
        <v>363</v>
      </c>
      <c r="C12" s="373">
        <v>2</v>
      </c>
      <c r="D12" s="373">
        <v>0</v>
      </c>
      <c r="E12" s="373">
        <v>6</v>
      </c>
      <c r="F12" s="384">
        <v>3</v>
      </c>
      <c r="G12" s="384">
        <f>SUM(C12:F12)</f>
        <v>11</v>
      </c>
      <c r="H12" s="374">
        <f>RANK(G12,$G$12:$G$16)</f>
        <v>1</v>
      </c>
    </row>
    <row r="13" spans="1:28" ht="24" customHeight="1" x14ac:dyDescent="0.15">
      <c r="A13" s="368">
        <v>2</v>
      </c>
      <c r="B13" s="385" t="s">
        <v>362</v>
      </c>
      <c r="C13" s="377">
        <v>3</v>
      </c>
      <c r="D13" s="377">
        <v>0</v>
      </c>
      <c r="E13" s="377">
        <v>0</v>
      </c>
      <c r="F13" s="376">
        <v>2</v>
      </c>
      <c r="G13" s="376">
        <f>SUM(C13:F13)</f>
        <v>5</v>
      </c>
      <c r="H13" s="386">
        <f>RANK(G13,$G$12:$G$16)</f>
        <v>2</v>
      </c>
      <c r="AB13" s="368">
        <v>0</v>
      </c>
    </row>
    <row r="14" spans="1:28" ht="24" customHeight="1" x14ac:dyDescent="0.15">
      <c r="A14" s="368">
        <v>5</v>
      </c>
      <c r="B14" s="375" t="s">
        <v>361</v>
      </c>
      <c r="C14" s="376">
        <v>0</v>
      </c>
      <c r="D14" s="376">
        <v>0</v>
      </c>
      <c r="E14" s="376">
        <v>0</v>
      </c>
      <c r="F14" s="376">
        <v>1</v>
      </c>
      <c r="G14" s="376">
        <f>SUM(C14:F14)</f>
        <v>1</v>
      </c>
      <c r="H14" s="378">
        <f>RANK(G14,$G$12:$G$16)</f>
        <v>3</v>
      </c>
      <c r="AB14" s="368">
        <v>1</v>
      </c>
    </row>
    <row r="15" spans="1:28" ht="24" customHeight="1" x14ac:dyDescent="0.15">
      <c r="A15" s="368">
        <v>1</v>
      </c>
      <c r="B15" s="387" t="s">
        <v>224</v>
      </c>
      <c r="C15" s="388">
        <v>0</v>
      </c>
      <c r="D15" s="388">
        <v>0</v>
      </c>
      <c r="E15" s="388">
        <v>0</v>
      </c>
      <c r="F15" s="388">
        <v>0</v>
      </c>
      <c r="G15" s="388">
        <f>SUM(C15:F15)</f>
        <v>0</v>
      </c>
      <c r="H15" s="389">
        <f>RANK(G15,$G$12:$G$16)</f>
        <v>4</v>
      </c>
      <c r="AB15" s="368">
        <v>0</v>
      </c>
    </row>
    <row r="16" spans="1:28" ht="24" customHeight="1" thickBot="1" x14ac:dyDescent="0.2">
      <c r="A16" s="368">
        <v>4</v>
      </c>
      <c r="B16" s="379" t="s">
        <v>360</v>
      </c>
      <c r="C16" s="380">
        <v>0</v>
      </c>
      <c r="D16" s="380">
        <v>0</v>
      </c>
      <c r="E16" s="380">
        <v>0</v>
      </c>
      <c r="F16" s="380">
        <v>0</v>
      </c>
      <c r="G16" s="380">
        <f>SUM(C16:F16)</f>
        <v>0</v>
      </c>
      <c r="H16" s="381">
        <f>RANK(G16,$G$12:$G$16)</f>
        <v>4</v>
      </c>
    </row>
    <row r="17" spans="1:2" ht="24" customHeight="1" x14ac:dyDescent="0.15"/>
    <row r="18" spans="1:2" ht="24" customHeight="1" x14ac:dyDescent="0.15">
      <c r="B18" s="368" t="s">
        <v>376</v>
      </c>
    </row>
    <row r="19" spans="1:2" ht="18.75" x14ac:dyDescent="0.15">
      <c r="B19" s="383"/>
    </row>
    <row r="24" spans="1:2" x14ac:dyDescent="0.15">
      <c r="A24" s="368" t="s">
        <v>364</v>
      </c>
    </row>
  </sheetData>
  <mergeCells count="2">
    <mergeCell ref="A1:I1"/>
    <mergeCell ref="C2:G2"/>
  </mergeCells>
  <phoneticPr fontId="1"/>
  <printOptions horizontalCentered="1"/>
  <pageMargins left="0" right="0" top="0.39370078740157483" bottom="0" header="0" footer="0"/>
  <pageSetup paperSize="9" scale="93" orientation="portrait" r:id="rId1"/>
  <headerFooter alignWithMargins="0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1:AD84"/>
  <sheetViews>
    <sheetView view="pageBreakPreview" zoomScale="70" zoomScaleNormal="100" zoomScaleSheetLayoutView="70" workbookViewId="0">
      <pane xSplit="17" topLeftCell="R1" activePane="topRight" state="frozenSplit"/>
      <selection activeCell="D19" sqref="D19"/>
      <selection pane="topRight" activeCell="S44" sqref="S44"/>
    </sheetView>
  </sheetViews>
  <sheetFormatPr defaultColWidth="9" defaultRowHeight="13.5" x14ac:dyDescent="0.15"/>
  <cols>
    <col min="1" max="1" width="0.875" style="6" customWidth="1"/>
    <col min="2" max="2" width="3.625" style="1" bestFit="1" customWidth="1"/>
    <col min="3" max="3" width="3.25" style="3" bestFit="1" customWidth="1"/>
    <col min="4" max="4" width="13.25" style="1" bestFit="1" customWidth="1"/>
    <col min="5" max="5" width="9.25" style="1" bestFit="1" customWidth="1"/>
    <col min="6" max="6" width="8.625" style="1" bestFit="1" customWidth="1"/>
    <col min="7" max="7" width="7.375" style="1" bestFit="1" customWidth="1"/>
    <col min="8" max="15" width="7.375" style="1" customWidth="1"/>
    <col min="16" max="16" width="8.125" style="1" bestFit="1" customWidth="1"/>
    <col min="17" max="17" width="7.375" style="1" bestFit="1" customWidth="1"/>
    <col min="18" max="21" width="9" style="1"/>
    <col min="22" max="22" width="5.375" style="1" bestFit="1" customWidth="1"/>
    <col min="23" max="30" width="5.625" style="1" bestFit="1" customWidth="1"/>
    <col min="31" max="16384" width="9" style="1"/>
  </cols>
  <sheetData>
    <row r="1" spans="1:30" ht="30" customHeight="1" x14ac:dyDescent="0.15"/>
    <row r="2" spans="1:30" ht="30" customHeight="1" x14ac:dyDescent="0.15">
      <c r="C2" s="2" t="s">
        <v>63</v>
      </c>
      <c r="D2" s="2"/>
      <c r="E2" s="2"/>
      <c r="F2" s="7" t="s">
        <v>71</v>
      </c>
      <c r="G2" s="2"/>
      <c r="H2" s="2"/>
      <c r="I2" s="2"/>
      <c r="J2" s="2"/>
      <c r="K2" s="2"/>
      <c r="L2" s="2"/>
      <c r="M2" s="2"/>
      <c r="N2" s="2"/>
      <c r="O2" s="2"/>
    </row>
    <row r="3" spans="1:30" ht="18" thickBo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30" x14ac:dyDescent="0.15">
      <c r="A4" s="572"/>
      <c r="B4" s="547" t="s">
        <v>4</v>
      </c>
      <c r="C4" s="573" t="s">
        <v>0</v>
      </c>
      <c r="D4" s="575" t="s">
        <v>1</v>
      </c>
      <c r="E4" s="575" t="s">
        <v>2</v>
      </c>
      <c r="F4" s="566" t="s">
        <v>26</v>
      </c>
      <c r="G4" s="558" t="s">
        <v>53</v>
      </c>
      <c r="H4" s="559"/>
      <c r="I4" s="560" t="s">
        <v>54</v>
      </c>
      <c r="J4" s="561"/>
      <c r="K4" s="561"/>
      <c r="L4" s="561"/>
      <c r="M4" s="561"/>
      <c r="N4" s="561"/>
      <c r="O4" s="562"/>
      <c r="P4" s="554" t="s">
        <v>8</v>
      </c>
      <c r="Q4" s="562" t="s">
        <v>55</v>
      </c>
    </row>
    <row r="5" spans="1:30" ht="14.25" thickBot="1" x14ac:dyDescent="0.2">
      <c r="A5" s="572"/>
      <c r="B5" s="548"/>
      <c r="C5" s="574"/>
      <c r="D5" s="576"/>
      <c r="E5" s="576"/>
      <c r="F5" s="567"/>
      <c r="G5" s="8" t="s">
        <v>61</v>
      </c>
      <c r="H5" s="9" t="s">
        <v>62</v>
      </c>
      <c r="I5" s="563"/>
      <c r="J5" s="564"/>
      <c r="K5" s="564"/>
      <c r="L5" s="564"/>
      <c r="M5" s="564"/>
      <c r="N5" s="564"/>
      <c r="O5" s="557"/>
      <c r="P5" s="546"/>
      <c r="Q5" s="557"/>
    </row>
    <row r="6" spans="1:30" ht="13.5" customHeight="1" thickBot="1" x14ac:dyDescent="0.2">
      <c r="A6" s="533">
        <v>1</v>
      </c>
      <c r="B6" s="541">
        <f>SMALL($W$6:$AD$6,A6)</f>
        <v>1.0000002090751581</v>
      </c>
      <c r="C6" s="537" t="str">
        <f>HLOOKUP($B6,$W$6:$AD$35,2,FALSE)</f>
        <v>A</v>
      </c>
      <c r="D6" s="534">
        <f>HLOOKUP($B6,$W$6:$AD$35,3,FALSE)</f>
        <v>0</v>
      </c>
      <c r="E6" s="534">
        <f>HLOOKUP($B6,$W$6:$AD$35,4,FALSE)</f>
        <v>0</v>
      </c>
      <c r="F6" s="550">
        <f>HLOOKUP($B6,$W$6:$AD$35,5,FALSE)</f>
        <v>0</v>
      </c>
      <c r="G6" s="10" t="str">
        <f t="shared" ref="G6:O6" si="0">IF(G7="","",SUM(G7:G11))</f>
        <v/>
      </c>
      <c r="H6" s="11" t="str">
        <f t="shared" si="0"/>
        <v/>
      </c>
      <c r="I6" s="11" t="str">
        <f t="shared" si="0"/>
        <v/>
      </c>
      <c r="J6" s="11" t="str">
        <f t="shared" si="0"/>
        <v/>
      </c>
      <c r="K6" s="11" t="str">
        <f t="shared" si="0"/>
        <v/>
      </c>
      <c r="L6" s="11" t="str">
        <f t="shared" si="0"/>
        <v/>
      </c>
      <c r="M6" s="11" t="str">
        <f t="shared" si="0"/>
        <v/>
      </c>
      <c r="N6" s="11" t="str">
        <f t="shared" si="0"/>
        <v/>
      </c>
      <c r="O6" s="12" t="str">
        <f t="shared" si="0"/>
        <v/>
      </c>
      <c r="P6" s="544">
        <f>SUM(G6:O6)</f>
        <v>0</v>
      </c>
      <c r="Q6" s="569"/>
      <c r="V6" s="13" t="s">
        <v>4</v>
      </c>
      <c r="W6" s="5">
        <f t="shared" ref="W6:AD6" si="1">RANK(W$35,$W$35:$AD$35)+COLUMN(A1)/9^7</f>
        <v>1.0000002090751581</v>
      </c>
      <c r="X6" s="5">
        <f t="shared" si="1"/>
        <v>1.0000004181503162</v>
      </c>
      <c r="Y6" s="5">
        <f t="shared" si="1"/>
        <v>1.0000006272254744</v>
      </c>
      <c r="Z6" s="5">
        <f t="shared" si="1"/>
        <v>1.0000008363006325</v>
      </c>
      <c r="AA6" s="5">
        <f t="shared" si="1"/>
        <v>1.0000010453757906</v>
      </c>
      <c r="AB6" s="5">
        <f t="shared" si="1"/>
        <v>1.0000012544509487</v>
      </c>
      <c r="AC6" s="5">
        <f t="shared" si="1"/>
        <v>1.000001463526107</v>
      </c>
      <c r="AD6" s="5">
        <f t="shared" si="1"/>
        <v>1.000001672601265</v>
      </c>
    </row>
    <row r="7" spans="1:30" ht="13.5" customHeight="1" x14ac:dyDescent="0.15">
      <c r="A7" s="533"/>
      <c r="B7" s="542"/>
      <c r="C7" s="538"/>
      <c r="D7" s="535"/>
      <c r="E7" s="535"/>
      <c r="F7" s="551"/>
      <c r="G7" s="14" t="str">
        <f>IF(HLOOKUP($B6,$W$6:$AD$35,6,FALSE)=0,"",HLOOKUP($B6,$W$6:$AD$35,6,FALSE))</f>
        <v/>
      </c>
      <c r="H7" s="15" t="str">
        <f>IF(HLOOKUP($B6,$W$6:$AD$35,11,FALSE)=0,"",HLOOKUP($B6,$W$6:$AD$35,11,FALSE))</f>
        <v/>
      </c>
      <c r="I7" s="15" t="str">
        <f>IF(HLOOKUP($B6,$W$6:$AD$35,16,FALSE)=0,"",HLOOKUP($B6,$W$6:$AD$35,16,FALSE))</f>
        <v/>
      </c>
      <c r="J7" s="15" t="str">
        <f>IF(HLOOKUP($B6,$W$6:$AD$35,18,FALSE)=0,"",HLOOKUP($B6,$W$6:$AD$35,18,FALSE))</f>
        <v/>
      </c>
      <c r="K7" s="15" t="str">
        <f>IF(HLOOKUP($B6,$W$6:$AD$35,20,FALSE)=0,"",HLOOKUP($B6,$W$6:$AD$35,20,FALSE))</f>
        <v/>
      </c>
      <c r="L7" s="15" t="str">
        <f>IF(HLOOKUP($B6,$W$6:$AD$35,22,FALSE)=0,"",HLOOKUP($B6,$W$6:$AD$35,22,FALSE))</f>
        <v/>
      </c>
      <c r="M7" s="15" t="str">
        <f>IF(HLOOKUP($B6,$W$6:$AD$35,24,FALSE)=0,"",HLOOKUP($B6,$W$6:$AD$35,24,FALSE))</f>
        <v/>
      </c>
      <c r="N7" s="15" t="str">
        <f>IF(HLOOKUP($B6,$W$6:$AD$35,26,FALSE)=0,"",HLOOKUP($B6,$W$6:$AD$35,26,FALSE))</f>
        <v/>
      </c>
      <c r="O7" s="16" t="str">
        <f>IF(HLOOKUP($B6,$W$6:$AD$35,28,FALSE)=0,"",HLOOKUP($B6,$W$6:$AD$35,28,FALSE))</f>
        <v/>
      </c>
      <c r="P7" s="545"/>
      <c r="Q7" s="570"/>
      <c r="V7" s="568"/>
      <c r="W7" s="17" t="s">
        <v>50</v>
      </c>
      <c r="X7" s="17" t="s">
        <v>51</v>
      </c>
      <c r="Y7" s="17" t="s">
        <v>56</v>
      </c>
      <c r="Z7" s="17" t="s">
        <v>57</v>
      </c>
      <c r="AA7" s="17" t="s">
        <v>58</v>
      </c>
      <c r="AB7" s="17" t="s">
        <v>59</v>
      </c>
      <c r="AC7" s="17" t="s">
        <v>52</v>
      </c>
      <c r="AD7" s="17" t="s">
        <v>60</v>
      </c>
    </row>
    <row r="8" spans="1:30" ht="13.5" customHeight="1" x14ac:dyDescent="0.15">
      <c r="A8" s="533"/>
      <c r="B8" s="542"/>
      <c r="C8" s="538"/>
      <c r="D8" s="535"/>
      <c r="E8" s="535"/>
      <c r="F8" s="551"/>
      <c r="G8" s="14" t="str">
        <f>IF(HLOOKUP($B6,$W$6:$AD$35,7,FALSE)=0,"",HLOOKUP($B6,$W$6:$AD$35,7,FALSE))</f>
        <v/>
      </c>
      <c r="H8" s="15" t="str">
        <f>IF(HLOOKUP($B6,$W$6:$AD$35,12,FALSE)=0,"",HLOOKUP($B6,$W$6:$AD$35,12,FALSE))</f>
        <v/>
      </c>
      <c r="I8" s="15" t="str">
        <f>IF(HLOOKUP($B6,$W$6:$AD$35,17,FALSE)=0,"",HLOOKUP($B6,$W$6:$AD$35,17,FALSE))</f>
        <v/>
      </c>
      <c r="J8" s="15" t="str">
        <f>IF(HLOOKUP($B6,$W$6:$AD$35,19,FALSE)=0,"",HLOOKUP($B6,$W$6:$AD$35,19,FALSE))</f>
        <v/>
      </c>
      <c r="K8" s="15" t="str">
        <f>IF(HLOOKUP($B6,$W$6:$AD$35,21,FALSE)=0,"",HLOOKUP($B6,$W$6:$AD$35,21,FALSE))</f>
        <v/>
      </c>
      <c r="L8" s="15" t="str">
        <f>IF(HLOOKUP($B6,$W$6:$AD$35,23,FALSE)=0,"",HLOOKUP($B6,$W$6:$AD$35,23,FALSE))</f>
        <v/>
      </c>
      <c r="M8" s="15" t="str">
        <f>IF(HLOOKUP($B6,$W$6:$AD$35,25,FALSE)=0,"",HLOOKUP($B6,$W$6:$AD$35,25,FALSE))</f>
        <v/>
      </c>
      <c r="N8" s="15" t="str">
        <f>IF(HLOOKUP($B6,$W$6:$AD$35,27,FALSE)=0,"",HLOOKUP($B6,$W$6:$AD$35,27,FALSE))</f>
        <v/>
      </c>
      <c r="O8" s="16" t="str">
        <f>IF(HLOOKUP($B6,$W$6:$AD$35,29,FALSE)=0,"",HLOOKUP($B6,$W$6:$AD$35,29,FALSE))</f>
        <v/>
      </c>
      <c r="P8" s="545"/>
      <c r="Q8" s="570"/>
      <c r="V8" s="568"/>
      <c r="W8" s="17"/>
      <c r="X8" s="17"/>
      <c r="Y8" s="17"/>
      <c r="Z8" s="17"/>
      <c r="AA8" s="17"/>
      <c r="AB8" s="17"/>
      <c r="AC8" s="17"/>
      <c r="AD8" s="17"/>
    </row>
    <row r="9" spans="1:30" ht="13.5" customHeight="1" x14ac:dyDescent="0.15">
      <c r="A9" s="533"/>
      <c r="B9" s="542"/>
      <c r="C9" s="538"/>
      <c r="D9" s="535"/>
      <c r="E9" s="535"/>
      <c r="F9" s="551"/>
      <c r="G9" s="14" t="str">
        <f>IF(HLOOKUP($B6,$W$6:$AD$35,8,FALSE)=0,"",HLOOKUP($B6,$W$6:$AD$35,8,FALSE))</f>
        <v/>
      </c>
      <c r="H9" s="15" t="str">
        <f>IF(HLOOKUP($B6,$W$6:$AD$35,13,FALSE)=0,"",HLOOKUP($B6,$W$6:$AD$35,13,FALSE))</f>
        <v/>
      </c>
      <c r="I9" s="18"/>
      <c r="J9" s="18"/>
      <c r="K9" s="18"/>
      <c r="L9" s="18"/>
      <c r="M9" s="18"/>
      <c r="N9" s="18"/>
      <c r="O9" s="19"/>
      <c r="P9" s="545"/>
      <c r="Q9" s="570"/>
      <c r="V9" s="568"/>
      <c r="W9" s="17"/>
      <c r="X9" s="17"/>
      <c r="Y9" s="17"/>
      <c r="Z9" s="17"/>
      <c r="AA9" s="17"/>
      <c r="AB9" s="17"/>
      <c r="AC9" s="17"/>
      <c r="AD9" s="17"/>
    </row>
    <row r="10" spans="1:30" ht="13.5" customHeight="1" x14ac:dyDescent="0.15">
      <c r="A10" s="533"/>
      <c r="B10" s="542"/>
      <c r="C10" s="538"/>
      <c r="D10" s="535"/>
      <c r="E10" s="535"/>
      <c r="F10" s="551"/>
      <c r="G10" s="14" t="str">
        <f>IF(HLOOKUP($B6,$W$6:$AD$35,9,FALSE)=0,"",HLOOKUP($B6,$W$6:$AD$35,9,FALSE))</f>
        <v/>
      </c>
      <c r="H10" s="15" t="str">
        <f>IF(HLOOKUP($B6,$W$6:$AD$35,14,FALSE)=0,"",HLOOKUP($B6,$W$6:$AD$35,14,FALSE))</f>
        <v/>
      </c>
      <c r="I10" s="20"/>
      <c r="J10" s="20"/>
      <c r="K10" s="20"/>
      <c r="L10" s="20"/>
      <c r="M10" s="20"/>
      <c r="N10" s="20"/>
      <c r="O10" s="21"/>
      <c r="P10" s="545"/>
      <c r="Q10" s="570"/>
      <c r="V10" s="568"/>
      <c r="W10" s="17"/>
      <c r="X10" s="17"/>
      <c r="Y10" s="17"/>
      <c r="Z10" s="17"/>
      <c r="AA10" s="17"/>
      <c r="AB10" s="17"/>
      <c r="AC10" s="17"/>
      <c r="AD10" s="17"/>
    </row>
    <row r="11" spans="1:30" ht="13.5" customHeight="1" thickBot="1" x14ac:dyDescent="0.2">
      <c r="A11" s="533"/>
      <c r="B11" s="543"/>
      <c r="C11" s="549"/>
      <c r="D11" s="536"/>
      <c r="E11" s="536"/>
      <c r="F11" s="552"/>
      <c r="G11" s="22" t="str">
        <f>IF(HLOOKUP($B6,$W$6:$AD$35,10,FALSE)=0,"",HLOOKUP($B6,$W$6:$AD$35,10,FALSE))</f>
        <v/>
      </c>
      <c r="H11" s="23" t="str">
        <f>IF(HLOOKUP($B6,$W$6:$AD$35,15,FALSE)=0,"",HLOOKUP($B6,$W$6:$AD$35,15,FALSE))</f>
        <v/>
      </c>
      <c r="I11" s="24"/>
      <c r="J11" s="24"/>
      <c r="K11" s="24"/>
      <c r="L11" s="24"/>
      <c r="M11" s="24"/>
      <c r="N11" s="24"/>
      <c r="O11" s="25"/>
      <c r="P11" s="546"/>
      <c r="Q11" s="571"/>
      <c r="V11" s="4">
        <v>1</v>
      </c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 thickBot="1" x14ac:dyDescent="0.2">
      <c r="A12" s="533">
        <v>2</v>
      </c>
      <c r="B12" s="541">
        <f>SMALL($W$6:$AD$6,A12)</f>
        <v>1.0000004181503162</v>
      </c>
      <c r="C12" s="537" t="str">
        <f>HLOOKUP($B12,$W$6:$AD$35,2,FALSE)</f>
        <v>B</v>
      </c>
      <c r="D12" s="534">
        <f>HLOOKUP($B12,$W$6:$AD$35,3,FALSE)</f>
        <v>0</v>
      </c>
      <c r="E12" s="534">
        <f>HLOOKUP($B12,$W$6:$AD$35,4,FALSE)</f>
        <v>0</v>
      </c>
      <c r="F12" s="550">
        <f>HLOOKUP($B12,$W$6:$AD$35,5,FALSE)</f>
        <v>0</v>
      </c>
      <c r="G12" s="10" t="str">
        <f t="shared" ref="G12:O12" si="2">IF(G13="","",SUM(G13:G17))</f>
        <v/>
      </c>
      <c r="H12" s="11" t="str">
        <f t="shared" si="2"/>
        <v/>
      </c>
      <c r="I12" s="11" t="str">
        <f t="shared" si="2"/>
        <v/>
      </c>
      <c r="J12" s="11" t="str">
        <f t="shared" si="2"/>
        <v/>
      </c>
      <c r="K12" s="11" t="str">
        <f t="shared" si="2"/>
        <v/>
      </c>
      <c r="L12" s="11" t="str">
        <f t="shared" si="2"/>
        <v/>
      </c>
      <c r="M12" s="11" t="str">
        <f t="shared" si="2"/>
        <v/>
      </c>
      <c r="N12" s="11" t="str">
        <f t="shared" si="2"/>
        <v/>
      </c>
      <c r="O12" s="12" t="str">
        <f t="shared" si="2"/>
        <v/>
      </c>
      <c r="P12" s="544">
        <f>SUM(G12:O12)</f>
        <v>0</v>
      </c>
      <c r="Q12" s="555">
        <f>P6-P12</f>
        <v>0</v>
      </c>
      <c r="V12" s="4">
        <v>2</v>
      </c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 x14ac:dyDescent="0.15">
      <c r="A13" s="533"/>
      <c r="B13" s="542"/>
      <c r="C13" s="538"/>
      <c r="D13" s="535"/>
      <c r="E13" s="535"/>
      <c r="F13" s="551"/>
      <c r="G13" s="14" t="str">
        <f>IF(HLOOKUP($B12,$W$6:$AD$35,6,FALSE)=0,"",HLOOKUP($B12,$W$6:$AD$35,6,FALSE))</f>
        <v/>
      </c>
      <c r="H13" s="15" t="str">
        <f>IF(HLOOKUP($B12,$W$6:$AD$35,11,FALSE)=0,"",HLOOKUP($B12,$W$6:$AD$35,11,FALSE))</f>
        <v/>
      </c>
      <c r="I13" s="15" t="str">
        <f>IF(HLOOKUP($B12,$W$6:$AD$35,16,FALSE)=0,"",HLOOKUP($B12,$W$6:$AD$35,16,FALSE))</f>
        <v/>
      </c>
      <c r="J13" s="15" t="str">
        <f>IF(HLOOKUP($B12,$W$6:$AD$35,18,FALSE)=0,"",HLOOKUP($B12,$W$6:$AD$35,18,FALSE))</f>
        <v/>
      </c>
      <c r="K13" s="15" t="str">
        <f>IF(HLOOKUP($B12,$W$6:$AD$35,20,FALSE)=0,"",HLOOKUP($B12,$W$6:$AD$35,20,FALSE))</f>
        <v/>
      </c>
      <c r="L13" s="15" t="str">
        <f>IF(HLOOKUP($B12,$W$6:$AD$35,22,FALSE)=0,"",HLOOKUP($B12,$W$6:$AD$35,22,FALSE))</f>
        <v/>
      </c>
      <c r="M13" s="15" t="str">
        <f>IF(HLOOKUP($B12,$W$6:$AD$35,24,FALSE)=0,"",HLOOKUP($B12,$W$6:$AD$35,24,FALSE))</f>
        <v/>
      </c>
      <c r="N13" s="15" t="str">
        <f>IF(HLOOKUP($B12,$W$6:$AD$35,26,FALSE)=0,"",HLOOKUP($B12,$W$6:$AD$35,26,FALSE))</f>
        <v/>
      </c>
      <c r="O13" s="16" t="str">
        <f>IF(HLOOKUP($B12,$W$6:$AD$35,28,FALSE)=0,"",HLOOKUP($B12,$W$6:$AD$35,28,FALSE))</f>
        <v/>
      </c>
      <c r="P13" s="545"/>
      <c r="Q13" s="556"/>
      <c r="V13" s="4">
        <v>3</v>
      </c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 x14ac:dyDescent="0.15">
      <c r="A14" s="533"/>
      <c r="B14" s="542"/>
      <c r="C14" s="538"/>
      <c r="D14" s="535"/>
      <c r="E14" s="535"/>
      <c r="F14" s="551"/>
      <c r="G14" s="14" t="str">
        <f>IF(HLOOKUP($B12,$W$6:$AD$35,7,FALSE)=0,"",HLOOKUP($B12,$W$6:$AD$35,7,FALSE))</f>
        <v/>
      </c>
      <c r="H14" s="15" t="str">
        <f>IF(HLOOKUP($B12,$W$6:$AD$35,12,FALSE)=0,"",HLOOKUP($B12,$W$6:$AD$35,12,FALSE))</f>
        <v/>
      </c>
      <c r="I14" s="15" t="str">
        <f>IF(HLOOKUP($B12,$W$6:$AD$35,17,FALSE)=0,"",HLOOKUP($B12,$W$6:$AD$35,17,FALSE))</f>
        <v/>
      </c>
      <c r="J14" s="15" t="str">
        <f>IF(HLOOKUP($B12,$W$6:$AD$35,19,FALSE)=0,"",HLOOKUP($B12,$W$6:$AD$35,19,FALSE))</f>
        <v/>
      </c>
      <c r="K14" s="15" t="str">
        <f>IF(HLOOKUP($B12,$W$6:$AD$35,21,FALSE)=0,"",HLOOKUP($B12,$W$6:$AD$35,21,FALSE))</f>
        <v/>
      </c>
      <c r="L14" s="15" t="str">
        <f>IF(HLOOKUP($B12,$W$6:$AD$35,23,FALSE)=0,"",HLOOKUP($B12,$W$6:$AD$35,23,FALSE))</f>
        <v/>
      </c>
      <c r="M14" s="15" t="str">
        <f>IF(HLOOKUP($B12,$W$6:$AD$35,25,FALSE)=0,"",HLOOKUP($B12,$W$6:$AD$35,25,FALSE))</f>
        <v/>
      </c>
      <c r="N14" s="15" t="str">
        <f>IF(HLOOKUP($B12,$W$6:$AD$35,27,FALSE)=0,"",HLOOKUP($B12,$W$6:$AD$35,27,FALSE))</f>
        <v/>
      </c>
      <c r="O14" s="16" t="str">
        <f>IF(HLOOKUP($B12,$W$6:$AD$35,29,FALSE)=0,"",HLOOKUP($B12,$W$6:$AD$35,29,FALSE))</f>
        <v/>
      </c>
      <c r="P14" s="545"/>
      <c r="Q14" s="556"/>
      <c r="V14" s="4">
        <v>4</v>
      </c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 x14ac:dyDescent="0.15">
      <c r="A15" s="533"/>
      <c r="B15" s="542"/>
      <c r="C15" s="538"/>
      <c r="D15" s="535"/>
      <c r="E15" s="535"/>
      <c r="F15" s="551"/>
      <c r="G15" s="14" t="str">
        <f>IF(HLOOKUP($B12,$W$6:$AD$35,8,FALSE)=0,"",HLOOKUP($B12,$W$6:$AD$35,8,FALSE))</f>
        <v/>
      </c>
      <c r="H15" s="15" t="str">
        <f>IF(HLOOKUP($B12,$W$6:$AD$35,13,FALSE)=0,"",HLOOKUP($B12,$W$6:$AD$35,13,FALSE))</f>
        <v/>
      </c>
      <c r="I15" s="18"/>
      <c r="J15" s="18"/>
      <c r="K15" s="18"/>
      <c r="L15" s="18"/>
      <c r="M15" s="18"/>
      <c r="N15" s="18"/>
      <c r="O15" s="19"/>
      <c r="P15" s="545"/>
      <c r="Q15" s="556"/>
      <c r="V15" s="4">
        <v>5</v>
      </c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 x14ac:dyDescent="0.15">
      <c r="A16" s="533"/>
      <c r="B16" s="542"/>
      <c r="C16" s="538"/>
      <c r="D16" s="535"/>
      <c r="E16" s="535"/>
      <c r="F16" s="551"/>
      <c r="G16" s="14" t="str">
        <f>IF(HLOOKUP($B12,$W$6:$AD$35,9,FALSE)=0,"",HLOOKUP($B12,$W$6:$AD$35,9,FALSE))</f>
        <v/>
      </c>
      <c r="H16" s="15" t="str">
        <f>IF(HLOOKUP($B12,$W$6:$AD$35,14,FALSE)=0,"",HLOOKUP($B12,$W$6:$AD$35,14,FALSE))</f>
        <v/>
      </c>
      <c r="I16" s="20"/>
      <c r="J16" s="20"/>
      <c r="K16" s="20"/>
      <c r="L16" s="20"/>
      <c r="M16" s="20"/>
      <c r="N16" s="20"/>
      <c r="O16" s="21"/>
      <c r="P16" s="545"/>
      <c r="Q16" s="556"/>
      <c r="V16" s="4">
        <v>6</v>
      </c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 thickBot="1" x14ac:dyDescent="0.2">
      <c r="A17" s="533"/>
      <c r="B17" s="543"/>
      <c r="C17" s="549"/>
      <c r="D17" s="536"/>
      <c r="E17" s="536"/>
      <c r="F17" s="552"/>
      <c r="G17" s="22" t="str">
        <f>IF(HLOOKUP($B12,$W$6:$AD$35,10,FALSE)=0,"",HLOOKUP($B12,$W$6:$AD$35,10,FALSE))</f>
        <v/>
      </c>
      <c r="H17" s="23" t="str">
        <f>IF(HLOOKUP($B12,$W$6:$AD$35,15,FALSE)=0,"",HLOOKUP($B12,$W$6:$AD$35,15,FALSE))</f>
        <v/>
      </c>
      <c r="I17" s="24"/>
      <c r="J17" s="24"/>
      <c r="K17" s="24"/>
      <c r="L17" s="24"/>
      <c r="M17" s="24"/>
      <c r="N17" s="24"/>
      <c r="O17" s="25"/>
      <c r="P17" s="546"/>
      <c r="Q17" s="557"/>
      <c r="V17" s="4">
        <v>7</v>
      </c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 thickBot="1" x14ac:dyDescent="0.2">
      <c r="A18" s="533">
        <v>3</v>
      </c>
      <c r="B18" s="541">
        <f>SMALL($W$6:$AD$6,A18)</f>
        <v>1.0000006272254744</v>
      </c>
      <c r="C18" s="537" t="str">
        <f>HLOOKUP($B18,$W$6:$AD$35,2,FALSE)</f>
        <v>C</v>
      </c>
      <c r="D18" s="534">
        <f>HLOOKUP($B18,$W$6:$AD$35,3,FALSE)</f>
        <v>0</v>
      </c>
      <c r="E18" s="534">
        <f>HLOOKUP($B18,$W$6:$AD$35,4,FALSE)</f>
        <v>0</v>
      </c>
      <c r="F18" s="550">
        <f>HLOOKUP($B18,$W$6:$AD$35,5,FALSE)</f>
        <v>0</v>
      </c>
      <c r="G18" s="10" t="str">
        <f t="shared" ref="G18:O18" si="3">IF(G19="","",SUM(G19:G23))</f>
        <v/>
      </c>
      <c r="H18" s="11" t="str">
        <f t="shared" si="3"/>
        <v/>
      </c>
      <c r="I18" s="11" t="str">
        <f t="shared" si="3"/>
        <v/>
      </c>
      <c r="J18" s="11" t="str">
        <f t="shared" si="3"/>
        <v/>
      </c>
      <c r="K18" s="11" t="str">
        <f t="shared" si="3"/>
        <v/>
      </c>
      <c r="L18" s="11" t="str">
        <f t="shared" si="3"/>
        <v/>
      </c>
      <c r="M18" s="11" t="str">
        <f t="shared" si="3"/>
        <v/>
      </c>
      <c r="N18" s="11" t="str">
        <f t="shared" si="3"/>
        <v/>
      </c>
      <c r="O18" s="12" t="str">
        <f t="shared" si="3"/>
        <v/>
      </c>
      <c r="P18" s="544">
        <f>SUM(G18:O18)</f>
        <v>0</v>
      </c>
      <c r="Q18" s="555">
        <f>P12-P18</f>
        <v>0</v>
      </c>
      <c r="V18" s="4">
        <v>8</v>
      </c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 x14ac:dyDescent="0.15">
      <c r="A19" s="533"/>
      <c r="B19" s="542"/>
      <c r="C19" s="538"/>
      <c r="D19" s="553"/>
      <c r="E19" s="535"/>
      <c r="F19" s="551"/>
      <c r="G19" s="14" t="str">
        <f>IF(HLOOKUP($B18,$W$6:$AD$35,6,FALSE)=0,"",HLOOKUP($B18,$W$6:$AD$35,6,FALSE))</f>
        <v/>
      </c>
      <c r="H19" s="15" t="str">
        <f>IF(HLOOKUP($B18,$W$6:$AD$35,11,FALSE)=0,"",HLOOKUP($B18,$W$6:$AD$35,11,FALSE))</f>
        <v/>
      </c>
      <c r="I19" s="15" t="str">
        <f>IF(HLOOKUP($B18,$W$6:$AD$35,16,FALSE)=0,"",HLOOKUP($B18,$W$6:$AD$35,16,FALSE))</f>
        <v/>
      </c>
      <c r="J19" s="15" t="str">
        <f>IF(HLOOKUP($B18,$W$6:$AD$35,18,FALSE)=0,"",HLOOKUP($B18,$W$6:$AD$35,18,FALSE))</f>
        <v/>
      </c>
      <c r="K19" s="15" t="str">
        <f>IF(HLOOKUP($B18,$W$6:$AD$35,20,FALSE)=0,"",HLOOKUP($B18,$W$6:$AD$35,20,FALSE))</f>
        <v/>
      </c>
      <c r="L19" s="15" t="str">
        <f>IF(HLOOKUP($B18,$W$6:$AD$35,22,FALSE)=0,"",HLOOKUP($B18,$W$6:$AD$35,22,FALSE))</f>
        <v/>
      </c>
      <c r="M19" s="15" t="str">
        <f>IF(HLOOKUP($B18,$W$6:$AD$35,24,FALSE)=0,"",HLOOKUP($B18,$W$6:$AD$35,24,FALSE))</f>
        <v/>
      </c>
      <c r="N19" s="15" t="str">
        <f>IF(HLOOKUP($B18,$W$6:$AD$35,26,FALSE)=0,"",HLOOKUP($B18,$W$6:$AD$35,26,FALSE))</f>
        <v/>
      </c>
      <c r="O19" s="16" t="str">
        <f>IF(HLOOKUP($B18,$W$6:$AD$35,28,FALSE)=0,"",HLOOKUP($B18,$W$6:$AD$35,28,FALSE))</f>
        <v/>
      </c>
      <c r="P19" s="545"/>
      <c r="Q19" s="556"/>
      <c r="V19" s="4">
        <v>9</v>
      </c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 x14ac:dyDescent="0.15">
      <c r="A20" s="533"/>
      <c r="B20" s="542"/>
      <c r="C20" s="538"/>
      <c r="D20" s="535"/>
      <c r="E20" s="535"/>
      <c r="F20" s="551"/>
      <c r="G20" s="14" t="str">
        <f>IF(HLOOKUP($B18,$W$6:$AD$35,7,FALSE)=0,"",HLOOKUP($B18,$W$6:$AD$35,7,FALSE))</f>
        <v/>
      </c>
      <c r="H20" s="15" t="str">
        <f>IF(HLOOKUP($B18,$W$6:$AD$35,12,FALSE)=0,"",HLOOKUP($B18,$W$6:$AD$35,12,FALSE))</f>
        <v/>
      </c>
      <c r="I20" s="15" t="str">
        <f>IF(HLOOKUP($B18,$W$6:$AD$35,17,FALSE)=0,"",HLOOKUP($B18,$W$6:$AD$35,17,FALSE))</f>
        <v/>
      </c>
      <c r="J20" s="15" t="str">
        <f>IF(HLOOKUP($B18,$W$6:$AD$35,19,FALSE)=0,"",HLOOKUP($B18,$W$6:$AD$35,19,FALSE))</f>
        <v/>
      </c>
      <c r="K20" s="15" t="str">
        <f>IF(HLOOKUP($B18,$W$6:$AD$35,21,FALSE)=0,"",HLOOKUP($B18,$W$6:$AD$35,21,FALSE))</f>
        <v/>
      </c>
      <c r="L20" s="15" t="str">
        <f>IF(HLOOKUP($B18,$W$6:$AD$35,23,FALSE)=0,"",HLOOKUP($B18,$W$6:$AD$35,23,FALSE))</f>
        <v/>
      </c>
      <c r="M20" s="15" t="str">
        <f>IF(HLOOKUP($B18,$W$6:$AD$35,25,FALSE)=0,"",HLOOKUP($B18,$W$6:$AD$35,25,FALSE))</f>
        <v/>
      </c>
      <c r="N20" s="15" t="str">
        <f>IF(HLOOKUP($B18,$W$6:$AD$35,27,FALSE)=0,"",HLOOKUP($B18,$W$6:$AD$35,27,FALSE))</f>
        <v/>
      </c>
      <c r="O20" s="16" t="str">
        <f>IF(HLOOKUP($B18,$W$6:$AD$35,29,FALSE)=0,"",HLOOKUP($B18,$W$6:$AD$35,29,FALSE))</f>
        <v/>
      </c>
      <c r="P20" s="545"/>
      <c r="Q20" s="556"/>
      <c r="V20" s="4">
        <v>10</v>
      </c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 x14ac:dyDescent="0.15">
      <c r="A21" s="533"/>
      <c r="B21" s="542"/>
      <c r="C21" s="538"/>
      <c r="D21" s="535"/>
      <c r="E21" s="535"/>
      <c r="F21" s="551"/>
      <c r="G21" s="14" t="str">
        <f>IF(HLOOKUP($B18,$W$6:$AD$35,8,FALSE)=0,"",HLOOKUP($B18,$W$6:$AD$35,8,FALSE))</f>
        <v/>
      </c>
      <c r="H21" s="15" t="str">
        <f>IF(HLOOKUP($B18,$W$6:$AD$35,13,FALSE)=0,"",HLOOKUP($B18,$W$6:$AD$35,13,FALSE))</f>
        <v/>
      </c>
      <c r="I21" s="18"/>
      <c r="J21" s="18"/>
      <c r="K21" s="18"/>
      <c r="L21" s="18"/>
      <c r="M21" s="18"/>
      <c r="N21" s="18"/>
      <c r="O21" s="19"/>
      <c r="P21" s="545"/>
      <c r="Q21" s="556"/>
      <c r="V21" s="4">
        <v>11</v>
      </c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 x14ac:dyDescent="0.15">
      <c r="A22" s="533"/>
      <c r="B22" s="542"/>
      <c r="C22" s="538"/>
      <c r="D22" s="535"/>
      <c r="E22" s="535"/>
      <c r="F22" s="551"/>
      <c r="G22" s="14" t="str">
        <f>IF(HLOOKUP($B18,$W$6:$AD$35,9,FALSE)=0,"",HLOOKUP($B18,$W$6:$AD$35,9,FALSE))</f>
        <v/>
      </c>
      <c r="H22" s="15" t="str">
        <f>IF(HLOOKUP($B18,$W$6:$AD$35,14,FALSE)=0,"",HLOOKUP($B18,$W$6:$AD$35,14,FALSE))</f>
        <v/>
      </c>
      <c r="I22" s="20"/>
      <c r="J22" s="20"/>
      <c r="K22" s="20"/>
      <c r="L22" s="20"/>
      <c r="M22" s="20"/>
      <c r="N22" s="20"/>
      <c r="O22" s="21"/>
      <c r="P22" s="545"/>
      <c r="Q22" s="556"/>
      <c r="V22" s="4">
        <v>12</v>
      </c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 thickBot="1" x14ac:dyDescent="0.2">
      <c r="A23" s="533"/>
      <c r="B23" s="543"/>
      <c r="C23" s="549"/>
      <c r="D23" s="536"/>
      <c r="E23" s="536"/>
      <c r="F23" s="552"/>
      <c r="G23" s="22" t="str">
        <f>IF(HLOOKUP($B18,$W$6:$AD$35,10,FALSE)=0,"",HLOOKUP($B18,$W$6:$AD$35,10,FALSE))</f>
        <v/>
      </c>
      <c r="H23" s="23" t="str">
        <f>IF(HLOOKUP($B18,$W$6:$AD$35,15,FALSE)=0,"",HLOOKUP($B18,$W$6:$AD$35,15,FALSE))</f>
        <v/>
      </c>
      <c r="I23" s="24"/>
      <c r="J23" s="24"/>
      <c r="K23" s="24"/>
      <c r="L23" s="24"/>
      <c r="M23" s="24"/>
      <c r="N23" s="24"/>
      <c r="O23" s="25"/>
      <c r="P23" s="546"/>
      <c r="Q23" s="557"/>
      <c r="V23" s="4">
        <v>13</v>
      </c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 thickBot="1" x14ac:dyDescent="0.2">
      <c r="A24" s="533">
        <v>4</v>
      </c>
      <c r="B24" s="541">
        <f>SMALL($W$6:$AD$6,A24)</f>
        <v>1.0000008363006325</v>
      </c>
      <c r="C24" s="537" t="str">
        <f>HLOOKUP($B24,$W$6:$AD$35,2,FALSE)</f>
        <v>D</v>
      </c>
      <c r="D24" s="534">
        <f>HLOOKUP($B24,$W$6:$AD$35,3,FALSE)</f>
        <v>0</v>
      </c>
      <c r="E24" s="534">
        <f>HLOOKUP($B24,$W$6:$AD$35,4,FALSE)</f>
        <v>0</v>
      </c>
      <c r="F24" s="550">
        <f>HLOOKUP($B24,$W$6:$AD$35,5,FALSE)</f>
        <v>0</v>
      </c>
      <c r="G24" s="10" t="str">
        <f t="shared" ref="G24:O24" si="4">IF(G25="","",SUM(G25:G29))</f>
        <v/>
      </c>
      <c r="H24" s="11" t="str">
        <f t="shared" si="4"/>
        <v/>
      </c>
      <c r="I24" s="11" t="str">
        <f t="shared" si="4"/>
        <v/>
      </c>
      <c r="J24" s="11" t="str">
        <f t="shared" si="4"/>
        <v/>
      </c>
      <c r="K24" s="11" t="str">
        <f t="shared" si="4"/>
        <v/>
      </c>
      <c r="L24" s="11" t="str">
        <f t="shared" si="4"/>
        <v/>
      </c>
      <c r="M24" s="11" t="str">
        <f t="shared" si="4"/>
        <v/>
      </c>
      <c r="N24" s="11" t="str">
        <f t="shared" si="4"/>
        <v/>
      </c>
      <c r="O24" s="12" t="str">
        <f t="shared" si="4"/>
        <v/>
      </c>
      <c r="P24" s="544">
        <f>SUM(G24:O24)</f>
        <v>0</v>
      </c>
      <c r="Q24" s="555">
        <f>P18-P24</f>
        <v>0</v>
      </c>
      <c r="V24" s="4">
        <v>14</v>
      </c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 x14ac:dyDescent="0.15">
      <c r="A25" s="533"/>
      <c r="B25" s="542"/>
      <c r="C25" s="538"/>
      <c r="D25" s="535"/>
      <c r="E25" s="535"/>
      <c r="F25" s="551"/>
      <c r="G25" s="14" t="str">
        <f>IF(HLOOKUP($B24,$W$6:$AD$35,6,FALSE)=0,"",HLOOKUP($B24,$W$6:$AD$35,6,FALSE))</f>
        <v/>
      </c>
      <c r="H25" s="15" t="str">
        <f>IF(HLOOKUP($B24,$W$6:$AD$35,11,FALSE)=0,"",HLOOKUP($B24,$W$6:$AD$35,11,FALSE))</f>
        <v/>
      </c>
      <c r="I25" s="15" t="str">
        <f>IF(HLOOKUP($B24,$W$6:$AD$35,16,FALSE)=0,"",HLOOKUP($B24,$W$6:$AD$35,16,FALSE))</f>
        <v/>
      </c>
      <c r="J25" s="15" t="str">
        <f>IF(HLOOKUP($B24,$W$6:$AD$35,18,FALSE)=0,"",HLOOKUP($B24,$W$6:$AD$35,18,FALSE))</f>
        <v/>
      </c>
      <c r="K25" s="15" t="str">
        <f>IF(HLOOKUP($B24,$W$6:$AD$35,20,FALSE)=0,"",HLOOKUP($B24,$W$6:$AD$35,20,FALSE))</f>
        <v/>
      </c>
      <c r="L25" s="15" t="str">
        <f>IF(HLOOKUP($B24,$W$6:$AD$35,22,FALSE)=0,"",HLOOKUP($B24,$W$6:$AD$35,22,FALSE))</f>
        <v/>
      </c>
      <c r="M25" s="15" t="str">
        <f>IF(HLOOKUP($B24,$W$6:$AD$35,24,FALSE)=0,"",HLOOKUP($B24,$W$6:$AD$35,24,FALSE))</f>
        <v/>
      </c>
      <c r="N25" s="15" t="str">
        <f>IF(HLOOKUP($B24,$W$6:$AD$35,26,FALSE)=0,"",HLOOKUP($B24,$W$6:$AD$35,26,FALSE))</f>
        <v/>
      </c>
      <c r="O25" s="16" t="str">
        <f>IF(HLOOKUP($B24,$W$6:$AD$35,28,FALSE)=0,"",HLOOKUP($B24,$W$6:$AD$35,28,FALSE))</f>
        <v/>
      </c>
      <c r="P25" s="545"/>
      <c r="Q25" s="556"/>
      <c r="V25" s="4">
        <v>15</v>
      </c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 x14ac:dyDescent="0.15">
      <c r="A26" s="533"/>
      <c r="B26" s="542"/>
      <c r="C26" s="538"/>
      <c r="D26" s="535"/>
      <c r="E26" s="535"/>
      <c r="F26" s="551"/>
      <c r="G26" s="14" t="str">
        <f>IF(HLOOKUP($B24,$W$6:$AD$35,7,FALSE)=0,"",HLOOKUP($B24,$W$6:$AD$35,7,FALSE))</f>
        <v/>
      </c>
      <c r="H26" s="15" t="str">
        <f>IF(HLOOKUP($B24,$W$6:$AD$35,12,FALSE)=0,"",HLOOKUP($B24,$W$6:$AD$35,12,FALSE))</f>
        <v/>
      </c>
      <c r="I26" s="15" t="str">
        <f>IF(HLOOKUP($B24,$W$6:$AD$35,17,FALSE)=0,"",HLOOKUP($B24,$W$6:$AD$35,17,FALSE))</f>
        <v/>
      </c>
      <c r="J26" s="15" t="str">
        <f>IF(HLOOKUP($B24,$W$6:$AD$35,19,FALSE)=0,"",HLOOKUP($B24,$W$6:$AD$35,19,FALSE))</f>
        <v/>
      </c>
      <c r="K26" s="15" t="str">
        <f>IF(HLOOKUP($B24,$W$6:$AD$35,21,FALSE)=0,"",HLOOKUP($B24,$W$6:$AD$35,21,FALSE))</f>
        <v/>
      </c>
      <c r="L26" s="15" t="str">
        <f>IF(HLOOKUP($B24,$W$6:$AD$35,23,FALSE)=0,"",HLOOKUP($B24,$W$6:$AD$35,23,FALSE))</f>
        <v/>
      </c>
      <c r="M26" s="15" t="str">
        <f>IF(HLOOKUP($B24,$W$6:$AD$35,25,FALSE)=0,"",HLOOKUP($B24,$W$6:$AD$35,25,FALSE))</f>
        <v/>
      </c>
      <c r="N26" s="15" t="str">
        <f>IF(HLOOKUP($B24,$W$6:$AD$35,27,FALSE)=0,"",HLOOKUP($B24,$W$6:$AD$35,27,FALSE))</f>
        <v/>
      </c>
      <c r="O26" s="16" t="str">
        <f>IF(HLOOKUP($B24,$W$6:$AD$35,29,FALSE)=0,"",HLOOKUP($B24,$W$6:$AD$35,29,FALSE))</f>
        <v/>
      </c>
      <c r="P26" s="545"/>
      <c r="Q26" s="556"/>
      <c r="V26" s="4">
        <v>16</v>
      </c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 x14ac:dyDescent="0.15">
      <c r="A27" s="533"/>
      <c r="B27" s="542"/>
      <c r="C27" s="538"/>
      <c r="D27" s="535"/>
      <c r="E27" s="535"/>
      <c r="F27" s="551"/>
      <c r="G27" s="14" t="str">
        <f>IF(HLOOKUP($B24,$W$6:$AD$35,8,FALSE)=0,"",HLOOKUP($B24,$W$6:$AD$35,8,FALSE))</f>
        <v/>
      </c>
      <c r="H27" s="15" t="str">
        <f>IF(HLOOKUP($B24,$W$6:$AD$35,13,FALSE)=0,"",HLOOKUP($B24,$W$6:$AD$35,13,FALSE))</f>
        <v/>
      </c>
      <c r="I27" s="18"/>
      <c r="J27" s="18"/>
      <c r="K27" s="18"/>
      <c r="L27" s="18"/>
      <c r="M27" s="18"/>
      <c r="N27" s="18"/>
      <c r="O27" s="19"/>
      <c r="P27" s="545"/>
      <c r="Q27" s="556"/>
      <c r="V27" s="4">
        <v>17</v>
      </c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 x14ac:dyDescent="0.15">
      <c r="A28" s="533"/>
      <c r="B28" s="542"/>
      <c r="C28" s="538"/>
      <c r="D28" s="535"/>
      <c r="E28" s="535"/>
      <c r="F28" s="551"/>
      <c r="G28" s="14" t="str">
        <f>IF(HLOOKUP($B24,$W$6:$AD$35,9,FALSE)=0,"",HLOOKUP($B24,$W$6:$AD$35,9,FALSE))</f>
        <v/>
      </c>
      <c r="H28" s="15" t="str">
        <f>IF(HLOOKUP($B24,$W$6:$AD$35,14,FALSE)=0,"",HLOOKUP($B24,$W$6:$AD$35,14,FALSE))</f>
        <v/>
      </c>
      <c r="I28" s="20"/>
      <c r="J28" s="20"/>
      <c r="K28" s="20"/>
      <c r="L28" s="20"/>
      <c r="M28" s="20"/>
      <c r="N28" s="20"/>
      <c r="O28" s="21"/>
      <c r="P28" s="545"/>
      <c r="Q28" s="556"/>
      <c r="V28" s="4">
        <v>18</v>
      </c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 thickBot="1" x14ac:dyDescent="0.2">
      <c r="A29" s="533"/>
      <c r="B29" s="543"/>
      <c r="C29" s="549"/>
      <c r="D29" s="536"/>
      <c r="E29" s="536"/>
      <c r="F29" s="552"/>
      <c r="G29" s="22" t="str">
        <f>IF(HLOOKUP($B24,$W$6:$AD$35,10,FALSE)=0,"",HLOOKUP($B24,$W$6:$AD$35,10,FALSE))</f>
        <v/>
      </c>
      <c r="H29" s="23" t="str">
        <f>IF(HLOOKUP($B24,$W$6:$AD$35,15,FALSE)=0,"",HLOOKUP($B24,$W$6:$AD$35,15,FALSE))</f>
        <v/>
      </c>
      <c r="I29" s="24"/>
      <c r="J29" s="24"/>
      <c r="K29" s="24"/>
      <c r="L29" s="24"/>
      <c r="M29" s="24"/>
      <c r="N29" s="24"/>
      <c r="O29" s="25"/>
      <c r="P29" s="546"/>
      <c r="Q29" s="557"/>
      <c r="V29" s="4">
        <v>19</v>
      </c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 thickBot="1" x14ac:dyDescent="0.2">
      <c r="A30" s="533">
        <v>5</v>
      </c>
      <c r="B30" s="541">
        <f>SMALL($W$6:$AD$6,A30)</f>
        <v>1.0000010453757906</v>
      </c>
      <c r="C30" s="537" t="str">
        <f>HLOOKUP($B30,$W$6:$AD$35,2,FALSE)</f>
        <v>E</v>
      </c>
      <c r="D30" s="534">
        <f>HLOOKUP($B30,$W$6:$AD$35,3,FALSE)</f>
        <v>0</v>
      </c>
      <c r="E30" s="534">
        <f>HLOOKUP($B30,$W$6:$AD$35,4,FALSE)</f>
        <v>0</v>
      </c>
      <c r="F30" s="550">
        <f>HLOOKUP($B30,$W$6:$AD$35,5,FALSE)</f>
        <v>0</v>
      </c>
      <c r="G30" s="10" t="str">
        <f t="shared" ref="G30:O30" si="5">IF(G31="","",SUM(G31:G35))</f>
        <v/>
      </c>
      <c r="H30" s="11" t="str">
        <f t="shared" si="5"/>
        <v/>
      </c>
      <c r="I30" s="11" t="str">
        <f t="shared" si="5"/>
        <v/>
      </c>
      <c r="J30" s="11" t="str">
        <f t="shared" si="5"/>
        <v/>
      </c>
      <c r="K30" s="11" t="str">
        <f t="shared" si="5"/>
        <v/>
      </c>
      <c r="L30" s="11" t="str">
        <f t="shared" si="5"/>
        <v/>
      </c>
      <c r="M30" s="11" t="str">
        <f t="shared" si="5"/>
        <v/>
      </c>
      <c r="N30" s="11" t="str">
        <f t="shared" si="5"/>
        <v/>
      </c>
      <c r="O30" s="12" t="str">
        <f t="shared" si="5"/>
        <v/>
      </c>
      <c r="P30" s="544">
        <f>SUM(G30:O30)</f>
        <v>0</v>
      </c>
      <c r="Q30" s="555">
        <f>P24-P30</f>
        <v>0</v>
      </c>
      <c r="V30" s="4">
        <v>20</v>
      </c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 x14ac:dyDescent="0.15">
      <c r="A31" s="533"/>
      <c r="B31" s="542"/>
      <c r="C31" s="538"/>
      <c r="D31" s="535"/>
      <c r="E31" s="535"/>
      <c r="F31" s="551"/>
      <c r="G31" s="14" t="str">
        <f>IF(HLOOKUP($B30,$W$6:$AD$35,6,FALSE)=0,"",HLOOKUP($B30,$W$6:$AD$35,6,FALSE))</f>
        <v/>
      </c>
      <c r="H31" s="15" t="str">
        <f>IF(HLOOKUP($B30,$W$6:$AD$35,11,FALSE)=0,"",HLOOKUP($B30,$W$6:$AD$35,11,FALSE))</f>
        <v/>
      </c>
      <c r="I31" s="15" t="str">
        <f>IF(HLOOKUP($B30,$W$6:$AD$35,16,FALSE)=0,"",HLOOKUP($B30,$W$6:$AD$35,16,FALSE))</f>
        <v/>
      </c>
      <c r="J31" s="15" t="str">
        <f>IF(HLOOKUP($B30,$W$6:$AD$35,18,FALSE)=0,"",HLOOKUP($B30,$W$6:$AD$35,18,FALSE))</f>
        <v/>
      </c>
      <c r="K31" s="15" t="str">
        <f>IF(HLOOKUP($B30,$W$6:$AD$35,20,FALSE)=0,"",HLOOKUP($B30,$W$6:$AD$35,20,FALSE))</f>
        <v/>
      </c>
      <c r="L31" s="15" t="str">
        <f>IF(HLOOKUP($B30,$W$6:$AD$35,22,FALSE)=0,"",HLOOKUP($B30,$W$6:$AD$35,22,FALSE))</f>
        <v/>
      </c>
      <c r="M31" s="15" t="str">
        <f>IF(HLOOKUP($B30,$W$6:$AD$35,24,FALSE)=0,"",HLOOKUP($B30,$W$6:$AD$35,24,FALSE))</f>
        <v/>
      </c>
      <c r="N31" s="15" t="str">
        <f>IF(HLOOKUP($B30,$W$6:$AD$35,26,FALSE)=0,"",HLOOKUP($B30,$W$6:$AD$35,26,FALSE))</f>
        <v/>
      </c>
      <c r="O31" s="16" t="str">
        <f>IF(HLOOKUP($B30,$W$6:$AD$35,28,FALSE)=0,"",HLOOKUP($B30,$W$6:$AD$35,28,FALSE))</f>
        <v/>
      </c>
      <c r="P31" s="545"/>
      <c r="Q31" s="556"/>
      <c r="V31" s="4">
        <v>21</v>
      </c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 x14ac:dyDescent="0.15">
      <c r="A32" s="533"/>
      <c r="B32" s="542"/>
      <c r="C32" s="538"/>
      <c r="D32" s="535"/>
      <c r="E32" s="535"/>
      <c r="F32" s="551"/>
      <c r="G32" s="14" t="str">
        <f>IF(HLOOKUP($B30,$W$6:$AD$35,7,FALSE)=0,"",HLOOKUP($B30,$W$6:$AD$35,7,FALSE))</f>
        <v/>
      </c>
      <c r="H32" s="15" t="str">
        <f>IF(HLOOKUP($B30,$W$6:$AD$35,12,FALSE)=0,"",HLOOKUP($B30,$W$6:$AD$35,12,FALSE))</f>
        <v/>
      </c>
      <c r="I32" s="15" t="str">
        <f>IF(HLOOKUP($B30,$W$6:$AD$35,17,FALSE)=0,"",HLOOKUP($B30,$W$6:$AD$35,17,FALSE))</f>
        <v/>
      </c>
      <c r="J32" s="15" t="str">
        <f>IF(HLOOKUP($B30,$W$6:$AD$35,19,FALSE)=0,"",HLOOKUP($B30,$W$6:$AD$35,19,FALSE))</f>
        <v/>
      </c>
      <c r="K32" s="15" t="str">
        <f>IF(HLOOKUP($B30,$W$6:$AD$35,21,FALSE)=0,"",HLOOKUP($B30,$W$6:$AD$35,21,FALSE))</f>
        <v/>
      </c>
      <c r="L32" s="15" t="str">
        <f>IF(HLOOKUP($B30,$W$6:$AD$35,23,FALSE)=0,"",HLOOKUP($B30,$W$6:$AD$35,23,FALSE))</f>
        <v/>
      </c>
      <c r="M32" s="15" t="str">
        <f>IF(HLOOKUP($B30,$W$6:$AD$35,25,FALSE)=0,"",HLOOKUP($B30,$W$6:$AD$35,25,FALSE))</f>
        <v/>
      </c>
      <c r="N32" s="15" t="str">
        <f>IF(HLOOKUP($B30,$W$6:$AD$35,27,FALSE)=0,"",HLOOKUP($B30,$W$6:$AD$35,27,FALSE))</f>
        <v/>
      </c>
      <c r="O32" s="16" t="str">
        <f>IF(HLOOKUP($B30,$W$6:$AD$35,29,FALSE)=0,"",HLOOKUP($B30,$W$6:$AD$35,29,FALSE))</f>
        <v/>
      </c>
      <c r="P32" s="545"/>
      <c r="Q32" s="556"/>
      <c r="V32" s="4">
        <v>22</v>
      </c>
      <c r="W32" s="26"/>
      <c r="X32" s="26"/>
      <c r="Y32" s="26"/>
      <c r="Z32" s="26"/>
      <c r="AA32" s="26"/>
      <c r="AB32" s="26"/>
      <c r="AC32" s="26"/>
      <c r="AD32" s="26"/>
    </row>
    <row r="33" spans="1:30" ht="13.5" customHeight="1" x14ac:dyDescent="0.15">
      <c r="A33" s="533"/>
      <c r="B33" s="542"/>
      <c r="C33" s="538"/>
      <c r="D33" s="535"/>
      <c r="E33" s="535"/>
      <c r="F33" s="551"/>
      <c r="G33" s="14" t="str">
        <f>IF(HLOOKUP($B30,$W$6:$AD$35,8,FALSE)=0,"",HLOOKUP($B30,$W$6:$AD$35,8,FALSE))</f>
        <v/>
      </c>
      <c r="H33" s="15" t="str">
        <f>IF(HLOOKUP($B30,$W$6:$AD$35,13,FALSE)=0,"",HLOOKUP($B30,$W$6:$AD$35,13,FALSE))</f>
        <v/>
      </c>
      <c r="I33" s="18"/>
      <c r="J33" s="18"/>
      <c r="K33" s="18"/>
      <c r="L33" s="18"/>
      <c r="M33" s="18"/>
      <c r="N33" s="18"/>
      <c r="O33" s="19"/>
      <c r="P33" s="545"/>
      <c r="Q33" s="556"/>
      <c r="V33" s="4">
        <v>23</v>
      </c>
      <c r="W33" s="26"/>
      <c r="X33" s="26"/>
      <c r="Y33" s="26"/>
      <c r="Z33" s="26"/>
      <c r="AA33" s="26"/>
      <c r="AB33" s="26"/>
      <c r="AC33" s="26"/>
      <c r="AD33" s="26"/>
    </row>
    <row r="34" spans="1:30" ht="13.5" customHeight="1" x14ac:dyDescent="0.15">
      <c r="A34" s="533"/>
      <c r="B34" s="542"/>
      <c r="C34" s="538"/>
      <c r="D34" s="535"/>
      <c r="E34" s="535"/>
      <c r="F34" s="551"/>
      <c r="G34" s="14" t="str">
        <f>IF(HLOOKUP($B30,$W$6:$AD$35,9,FALSE)=0,"",HLOOKUP($B30,$W$6:$AD$35,9,FALSE))</f>
        <v/>
      </c>
      <c r="H34" s="15" t="str">
        <f>IF(HLOOKUP($B30,$W$6:$AD$35,14,FALSE)=0,"",HLOOKUP($B30,$W$6:$AD$35,14,FALSE))</f>
        <v/>
      </c>
      <c r="I34" s="20"/>
      <c r="J34" s="20"/>
      <c r="K34" s="20"/>
      <c r="L34" s="20"/>
      <c r="M34" s="20"/>
      <c r="N34" s="20"/>
      <c r="O34" s="21"/>
      <c r="P34" s="545"/>
      <c r="Q34" s="556"/>
      <c r="V34" s="4">
        <v>24</v>
      </c>
      <c r="W34" s="26"/>
      <c r="X34" s="26"/>
      <c r="Y34" s="26"/>
      <c r="Z34" s="26"/>
      <c r="AA34" s="26"/>
      <c r="AB34" s="26"/>
      <c r="AC34" s="26"/>
      <c r="AD34" s="26"/>
    </row>
    <row r="35" spans="1:30" ht="13.5" customHeight="1" thickBot="1" x14ac:dyDescent="0.2">
      <c r="A35" s="533"/>
      <c r="B35" s="543"/>
      <c r="C35" s="549"/>
      <c r="D35" s="536"/>
      <c r="E35" s="536"/>
      <c r="F35" s="552"/>
      <c r="G35" s="22" t="str">
        <f>IF(HLOOKUP($B30,$W$6:$AD$35,10,FALSE)=0,"",HLOOKUP($B30,$W$6:$AD$35,10,FALSE))</f>
        <v/>
      </c>
      <c r="H35" s="23" t="str">
        <f>IF(HLOOKUP($B30,$W$6:$AD$35,15,FALSE)=0,"",HLOOKUP($B30,$W$6:$AD$35,15,FALSE))</f>
        <v/>
      </c>
      <c r="I35" s="24"/>
      <c r="J35" s="24"/>
      <c r="K35" s="24"/>
      <c r="L35" s="24"/>
      <c r="M35" s="24"/>
      <c r="N35" s="24"/>
      <c r="O35" s="25"/>
      <c r="P35" s="546"/>
      <c r="Q35" s="557"/>
      <c r="V35" s="4" t="s">
        <v>8</v>
      </c>
      <c r="W35" s="27">
        <f>SUM(W11:W34)</f>
        <v>0</v>
      </c>
      <c r="X35" s="27">
        <f t="shared" ref="X35:AD35" si="6">SUM(X11:X34)</f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</row>
    <row r="36" spans="1:30" ht="13.5" customHeight="1" thickBot="1" x14ac:dyDescent="0.2">
      <c r="A36" s="533">
        <v>6</v>
      </c>
      <c r="B36" s="541">
        <f>SMALL($W$6:$AD$6,A36)</f>
        <v>1.0000012544509487</v>
      </c>
      <c r="C36" s="537" t="str">
        <f>HLOOKUP($B36,$W$6:$AD$35,2,FALSE)</f>
        <v>F</v>
      </c>
      <c r="D36" s="534">
        <f>HLOOKUP($B36,$W$6:$AD$35,3,FALSE)</f>
        <v>0</v>
      </c>
      <c r="E36" s="534">
        <f>HLOOKUP($B36,$W$6:$AD$35,4,FALSE)</f>
        <v>0</v>
      </c>
      <c r="F36" s="550">
        <f>HLOOKUP($B36,$W$6:$AD$35,5,FALSE)</f>
        <v>0</v>
      </c>
      <c r="G36" s="10" t="str">
        <f t="shared" ref="G36:O36" si="7">IF(G37="","",SUM(G37:G41))</f>
        <v/>
      </c>
      <c r="H36" s="11" t="str">
        <f t="shared" si="7"/>
        <v/>
      </c>
      <c r="I36" s="11" t="str">
        <f t="shared" si="7"/>
        <v/>
      </c>
      <c r="J36" s="11" t="str">
        <f t="shared" si="7"/>
        <v/>
      </c>
      <c r="K36" s="11" t="str">
        <f t="shared" si="7"/>
        <v/>
      </c>
      <c r="L36" s="11" t="str">
        <f t="shared" si="7"/>
        <v/>
      </c>
      <c r="M36" s="11" t="str">
        <f t="shared" si="7"/>
        <v/>
      </c>
      <c r="N36" s="11" t="str">
        <f t="shared" si="7"/>
        <v/>
      </c>
      <c r="O36" s="12" t="str">
        <f t="shared" si="7"/>
        <v/>
      </c>
      <c r="P36" s="544">
        <f>SUM(G36:O36)</f>
        <v>0</v>
      </c>
      <c r="Q36" s="555">
        <f>P30-P36</f>
        <v>0</v>
      </c>
    </row>
    <row r="37" spans="1:30" ht="13.5" customHeight="1" x14ac:dyDescent="0.15">
      <c r="A37" s="533"/>
      <c r="B37" s="542"/>
      <c r="C37" s="538"/>
      <c r="D37" s="535"/>
      <c r="E37" s="535"/>
      <c r="F37" s="551"/>
      <c r="G37" s="14" t="str">
        <f>IF(HLOOKUP($B36,$W$6:$AD$35,6,FALSE)=0,"",HLOOKUP($B36,$W$6:$AD$35,6,FALSE))</f>
        <v/>
      </c>
      <c r="H37" s="15" t="str">
        <f>IF(HLOOKUP($B36,$W$6:$AD$35,11,FALSE)=0,"",HLOOKUP($B36,$W$6:$AD$35,11,FALSE))</f>
        <v/>
      </c>
      <c r="I37" s="15" t="str">
        <f>IF(HLOOKUP($B36,$W$6:$AD$35,16,FALSE)=0,"",HLOOKUP($B36,$W$6:$AD$35,16,FALSE))</f>
        <v/>
      </c>
      <c r="J37" s="15" t="str">
        <f>IF(HLOOKUP($B36,$W$6:$AD$35,18,FALSE)=0,"",HLOOKUP($B36,$W$6:$AD$35,18,FALSE))</f>
        <v/>
      </c>
      <c r="K37" s="15" t="str">
        <f>IF(HLOOKUP($B36,$W$6:$AD$35,20,FALSE)=0,"",HLOOKUP($B36,$W$6:$AD$35,20,FALSE))</f>
        <v/>
      </c>
      <c r="L37" s="15" t="str">
        <f>IF(HLOOKUP($B36,$W$6:$AD$35,22,FALSE)=0,"",HLOOKUP($B36,$W$6:$AD$35,22,FALSE))</f>
        <v/>
      </c>
      <c r="M37" s="15" t="str">
        <f>IF(HLOOKUP($B36,$W$6:$AD$35,24,FALSE)=0,"",HLOOKUP($B36,$W$6:$AD$35,24,FALSE))</f>
        <v/>
      </c>
      <c r="N37" s="15" t="str">
        <f>IF(HLOOKUP($B36,$W$6:$AD$35,26,FALSE)=0,"",HLOOKUP($B36,$W$6:$AD$35,26,FALSE))</f>
        <v/>
      </c>
      <c r="O37" s="16" t="str">
        <f>IF(HLOOKUP($B36,$W$6:$AD$35,28,FALSE)=0,"",HLOOKUP($B36,$W$6:$AD$35,28,FALSE))</f>
        <v/>
      </c>
      <c r="P37" s="545"/>
      <c r="Q37" s="556"/>
    </row>
    <row r="38" spans="1:30" ht="13.5" customHeight="1" x14ac:dyDescent="0.15">
      <c r="A38" s="533"/>
      <c r="B38" s="542"/>
      <c r="C38" s="538"/>
      <c r="D38" s="535"/>
      <c r="E38" s="535"/>
      <c r="F38" s="551"/>
      <c r="G38" s="14" t="str">
        <f>IF(HLOOKUP($B36,$W$6:$AD$35,7,FALSE)=0,"",HLOOKUP($B36,$W$6:$AD$35,7,FALSE))</f>
        <v/>
      </c>
      <c r="H38" s="15" t="str">
        <f>IF(HLOOKUP($B36,$W$6:$AD$35,12,FALSE)=0,"",HLOOKUP($B36,$W$6:$AD$35,12,FALSE))</f>
        <v/>
      </c>
      <c r="I38" s="15" t="str">
        <f>IF(HLOOKUP($B36,$W$6:$AD$35,17,FALSE)=0,"",HLOOKUP($B36,$W$6:$AD$35,17,FALSE))</f>
        <v/>
      </c>
      <c r="J38" s="15" t="str">
        <f>IF(HLOOKUP($B36,$W$6:$AD$35,19,FALSE)=0,"",HLOOKUP($B36,$W$6:$AD$35,19,FALSE))</f>
        <v/>
      </c>
      <c r="K38" s="15" t="str">
        <f>IF(HLOOKUP($B36,$W$6:$AD$35,21,FALSE)=0,"",HLOOKUP($B36,$W$6:$AD$35,21,FALSE))</f>
        <v/>
      </c>
      <c r="L38" s="15" t="str">
        <f>IF(HLOOKUP($B36,$W$6:$AD$35,23,FALSE)=0,"",HLOOKUP($B36,$W$6:$AD$35,23,FALSE))</f>
        <v/>
      </c>
      <c r="M38" s="15" t="str">
        <f>IF(HLOOKUP($B36,$W$6:$AD$35,25,FALSE)=0,"",HLOOKUP($B36,$W$6:$AD$35,25,FALSE))</f>
        <v/>
      </c>
      <c r="N38" s="15" t="str">
        <f>IF(HLOOKUP($B36,$W$6:$AD$35,27,FALSE)=0,"",HLOOKUP($B36,$W$6:$AD$35,27,FALSE))</f>
        <v/>
      </c>
      <c r="O38" s="16" t="str">
        <f>IF(HLOOKUP($B36,$W$6:$AD$35,29,FALSE)=0,"",HLOOKUP($B36,$W$6:$AD$35,29,FALSE))</f>
        <v/>
      </c>
      <c r="P38" s="545"/>
      <c r="Q38" s="556"/>
    </row>
    <row r="39" spans="1:30" ht="13.5" customHeight="1" x14ac:dyDescent="0.15">
      <c r="A39" s="533"/>
      <c r="B39" s="542"/>
      <c r="C39" s="538"/>
      <c r="D39" s="535"/>
      <c r="E39" s="535"/>
      <c r="F39" s="551"/>
      <c r="G39" s="14" t="str">
        <f>IF(HLOOKUP($B36,$W$6:$AD$35,8,FALSE)=0,"",HLOOKUP($B36,$W$6:$AD$35,8,FALSE))</f>
        <v/>
      </c>
      <c r="H39" s="15" t="str">
        <f>IF(HLOOKUP($B36,$W$6:$AD$35,13,FALSE)=0,"",HLOOKUP($B36,$W$6:$AD$35,13,FALSE))</f>
        <v/>
      </c>
      <c r="I39" s="18"/>
      <c r="J39" s="18"/>
      <c r="K39" s="18"/>
      <c r="L39" s="18"/>
      <c r="M39" s="18"/>
      <c r="N39" s="18"/>
      <c r="O39" s="19"/>
      <c r="P39" s="545"/>
      <c r="Q39" s="556"/>
    </row>
    <row r="40" spans="1:30" ht="13.5" customHeight="1" x14ac:dyDescent="0.15">
      <c r="A40" s="533"/>
      <c r="B40" s="542"/>
      <c r="C40" s="538"/>
      <c r="D40" s="535"/>
      <c r="E40" s="535"/>
      <c r="F40" s="551"/>
      <c r="G40" s="14" t="str">
        <f>IF(HLOOKUP($B36,$W$6:$AD$35,9,FALSE)=0,"",HLOOKUP($B36,$W$6:$AD$35,9,FALSE))</f>
        <v/>
      </c>
      <c r="H40" s="15" t="str">
        <f>IF(HLOOKUP($B36,$W$6:$AD$35,14,FALSE)=0,"",HLOOKUP($B36,$W$6:$AD$35,14,FALSE))</f>
        <v/>
      </c>
      <c r="I40" s="20"/>
      <c r="J40" s="20"/>
      <c r="K40" s="20"/>
      <c r="L40" s="20"/>
      <c r="M40" s="20"/>
      <c r="N40" s="20"/>
      <c r="O40" s="21"/>
      <c r="P40" s="545"/>
      <c r="Q40" s="556"/>
    </row>
    <row r="41" spans="1:30" ht="13.5" customHeight="1" thickBot="1" x14ac:dyDescent="0.2">
      <c r="A41" s="533"/>
      <c r="B41" s="543"/>
      <c r="C41" s="549"/>
      <c r="D41" s="536"/>
      <c r="E41" s="536"/>
      <c r="F41" s="552"/>
      <c r="G41" s="22" t="str">
        <f>IF(HLOOKUP($B36,$W$6:$AD$35,10,FALSE)=0,"",HLOOKUP($B36,$W$6:$AD$35,10,FALSE))</f>
        <v/>
      </c>
      <c r="H41" s="23" t="str">
        <f>IF(HLOOKUP($B36,$W$6:$AD$35,15,FALSE)=0,"",HLOOKUP($B36,$W$6:$AD$35,15,FALSE))</f>
        <v/>
      </c>
      <c r="I41" s="24"/>
      <c r="J41" s="24"/>
      <c r="K41" s="24"/>
      <c r="L41" s="24"/>
      <c r="M41" s="24"/>
      <c r="N41" s="24"/>
      <c r="O41" s="25"/>
      <c r="P41" s="546"/>
      <c r="Q41" s="557"/>
    </row>
    <row r="42" spans="1:30" ht="13.5" customHeight="1" thickBot="1" x14ac:dyDescent="0.2">
      <c r="A42" s="533">
        <v>7</v>
      </c>
      <c r="B42" s="541">
        <f>SMALL($W$6:$AD$6,A42)</f>
        <v>1.000001463526107</v>
      </c>
      <c r="C42" s="537" t="str">
        <f>HLOOKUP($B42,$W$6:$AD$35,2,FALSE)</f>
        <v>G</v>
      </c>
      <c r="D42" s="534">
        <f>HLOOKUP($B42,$W$6:$AD$35,3,FALSE)</f>
        <v>0</v>
      </c>
      <c r="E42" s="534">
        <f>HLOOKUP($B42,$W$6:$AD$35,4,FALSE)</f>
        <v>0</v>
      </c>
      <c r="F42" s="550">
        <f>HLOOKUP($B42,$W$6:$AD$35,5,FALSE)</f>
        <v>0</v>
      </c>
      <c r="G42" s="10" t="str">
        <f t="shared" ref="G42:O42" si="8">IF(G43="","",SUM(G43:G47))</f>
        <v/>
      </c>
      <c r="H42" s="11" t="str">
        <f t="shared" si="8"/>
        <v/>
      </c>
      <c r="I42" s="11" t="str">
        <f t="shared" si="8"/>
        <v/>
      </c>
      <c r="J42" s="11" t="str">
        <f t="shared" si="8"/>
        <v/>
      </c>
      <c r="K42" s="11" t="str">
        <f t="shared" si="8"/>
        <v/>
      </c>
      <c r="L42" s="11" t="str">
        <f t="shared" si="8"/>
        <v/>
      </c>
      <c r="M42" s="11" t="str">
        <f t="shared" si="8"/>
        <v/>
      </c>
      <c r="N42" s="11" t="str">
        <f t="shared" si="8"/>
        <v/>
      </c>
      <c r="O42" s="12" t="str">
        <f t="shared" si="8"/>
        <v/>
      </c>
      <c r="P42" s="544">
        <f>SUM(G42:O42)</f>
        <v>0</v>
      </c>
      <c r="Q42" s="555">
        <f>P36-P42</f>
        <v>0</v>
      </c>
    </row>
    <row r="43" spans="1:30" ht="13.5" customHeight="1" x14ac:dyDescent="0.15">
      <c r="A43" s="533"/>
      <c r="B43" s="542"/>
      <c r="C43" s="538"/>
      <c r="D43" s="535"/>
      <c r="E43" s="535"/>
      <c r="F43" s="551"/>
      <c r="G43" s="14" t="str">
        <f>IF(HLOOKUP($B42,$W$6:$AD$35,6,FALSE)=0,"",HLOOKUP($B42,$W$6:$AD$35,6,FALSE))</f>
        <v/>
      </c>
      <c r="H43" s="15" t="str">
        <f>IF(HLOOKUP($B42,$W$6:$AD$35,11,FALSE)=0,"",HLOOKUP($B42,$W$6:$AD$35,11,FALSE))</f>
        <v/>
      </c>
      <c r="I43" s="15" t="str">
        <f>IF(HLOOKUP($B42,$W$6:$AD$35,16,FALSE)=0,"",HLOOKUP($B42,$W$6:$AD$35,16,FALSE))</f>
        <v/>
      </c>
      <c r="J43" s="15" t="str">
        <f>IF(HLOOKUP($B42,$W$6:$AD$35,18,FALSE)=0,"",HLOOKUP($B42,$W$6:$AD$35,18,FALSE))</f>
        <v/>
      </c>
      <c r="K43" s="15" t="str">
        <f>IF(HLOOKUP($B42,$W$6:$AD$35,20,FALSE)=0,"",HLOOKUP($B42,$W$6:$AD$35,20,FALSE))</f>
        <v/>
      </c>
      <c r="L43" s="15" t="str">
        <f>IF(HLOOKUP($B42,$W$6:$AD$35,22,FALSE)=0,"",HLOOKUP($B42,$W$6:$AD$35,22,FALSE))</f>
        <v/>
      </c>
      <c r="M43" s="15" t="str">
        <f>IF(HLOOKUP($B42,$W$6:$AD$35,24,FALSE)=0,"",HLOOKUP($B42,$W$6:$AD$35,24,FALSE))</f>
        <v/>
      </c>
      <c r="N43" s="15" t="str">
        <f>IF(HLOOKUP($B42,$W$6:$AD$35,26,FALSE)=0,"",HLOOKUP($B42,$W$6:$AD$35,26,FALSE))</f>
        <v/>
      </c>
      <c r="O43" s="16" t="str">
        <f>IF(HLOOKUP($B42,$W$6:$AD$35,28,FALSE)=0,"",HLOOKUP($B42,$W$6:$AD$35,28,FALSE))</f>
        <v/>
      </c>
      <c r="P43" s="545"/>
      <c r="Q43" s="556"/>
    </row>
    <row r="44" spans="1:30" ht="13.5" customHeight="1" x14ac:dyDescent="0.15">
      <c r="A44" s="533"/>
      <c r="B44" s="542"/>
      <c r="C44" s="538"/>
      <c r="D44" s="535"/>
      <c r="E44" s="535"/>
      <c r="F44" s="551"/>
      <c r="G44" s="14" t="str">
        <f>IF(HLOOKUP($B42,$W$6:$AD$35,7,FALSE)=0,"",HLOOKUP($B42,$W$6:$AD$35,7,FALSE))</f>
        <v/>
      </c>
      <c r="H44" s="15" t="str">
        <f>IF(HLOOKUP($B42,$W$6:$AD$35,12,FALSE)=0,"",HLOOKUP($B42,$W$6:$AD$35,12,FALSE))</f>
        <v/>
      </c>
      <c r="I44" s="15" t="str">
        <f>IF(HLOOKUP($B42,$W$6:$AD$35,17,FALSE)=0,"",HLOOKUP($B42,$W$6:$AD$35,17,FALSE))</f>
        <v/>
      </c>
      <c r="J44" s="15" t="str">
        <f>IF(HLOOKUP($B42,$W$6:$AD$35,19,FALSE)=0,"",HLOOKUP($B42,$W$6:$AD$35,19,FALSE))</f>
        <v/>
      </c>
      <c r="K44" s="15" t="str">
        <f>IF(HLOOKUP($B42,$W$6:$AD$35,21,FALSE)=0,"",HLOOKUP($B42,$W$6:$AD$35,21,FALSE))</f>
        <v/>
      </c>
      <c r="L44" s="15" t="str">
        <f>IF(HLOOKUP($B42,$W$6:$AD$35,23,FALSE)=0,"",HLOOKUP($B42,$W$6:$AD$35,23,FALSE))</f>
        <v/>
      </c>
      <c r="M44" s="15" t="str">
        <f>IF(HLOOKUP($B42,$W$6:$AD$35,25,FALSE)=0,"",HLOOKUP($B42,$W$6:$AD$35,25,FALSE))</f>
        <v/>
      </c>
      <c r="N44" s="15" t="str">
        <f>IF(HLOOKUP($B42,$W$6:$AD$35,27,FALSE)=0,"",HLOOKUP($B42,$W$6:$AD$35,27,FALSE))</f>
        <v/>
      </c>
      <c r="O44" s="16" t="str">
        <f>IF(HLOOKUP($B42,$W$6:$AD$35,29,FALSE)=0,"",HLOOKUP($B42,$W$6:$AD$35,29,FALSE))</f>
        <v/>
      </c>
      <c r="P44" s="545"/>
      <c r="Q44" s="556"/>
    </row>
    <row r="45" spans="1:30" ht="13.5" customHeight="1" x14ac:dyDescent="0.15">
      <c r="A45" s="533"/>
      <c r="B45" s="542"/>
      <c r="C45" s="538"/>
      <c r="D45" s="535"/>
      <c r="E45" s="535"/>
      <c r="F45" s="551"/>
      <c r="G45" s="14" t="str">
        <f>IF(HLOOKUP($B42,$W$6:$AD$35,8,FALSE)=0,"",HLOOKUP($B42,$W$6:$AD$35,8,FALSE))</f>
        <v/>
      </c>
      <c r="H45" s="15" t="str">
        <f>IF(HLOOKUP($B42,$W$6:$AD$35,13,FALSE)=0,"",HLOOKUP($B42,$W$6:$AD$35,13,FALSE))</f>
        <v/>
      </c>
      <c r="I45" s="18"/>
      <c r="J45" s="18"/>
      <c r="K45" s="18"/>
      <c r="L45" s="18"/>
      <c r="M45" s="18"/>
      <c r="N45" s="18"/>
      <c r="O45" s="19"/>
      <c r="P45" s="545"/>
      <c r="Q45" s="556"/>
    </row>
    <row r="46" spans="1:30" ht="13.5" customHeight="1" x14ac:dyDescent="0.15">
      <c r="A46" s="533"/>
      <c r="B46" s="542"/>
      <c r="C46" s="538"/>
      <c r="D46" s="535"/>
      <c r="E46" s="535"/>
      <c r="F46" s="551"/>
      <c r="G46" s="14" t="str">
        <f>IF(HLOOKUP($B42,$W$6:$AD$35,9,FALSE)=0,"",HLOOKUP($B42,$W$6:$AD$35,9,FALSE))</f>
        <v/>
      </c>
      <c r="H46" s="15" t="str">
        <f>IF(HLOOKUP($B42,$W$6:$AD$35,14,FALSE)=0,"",HLOOKUP($B42,$W$6:$AD$35,14,FALSE))</f>
        <v/>
      </c>
      <c r="I46" s="20"/>
      <c r="J46" s="20"/>
      <c r="K46" s="20"/>
      <c r="L46" s="20"/>
      <c r="M46" s="20"/>
      <c r="N46" s="20"/>
      <c r="O46" s="21"/>
      <c r="P46" s="545"/>
      <c r="Q46" s="556"/>
    </row>
    <row r="47" spans="1:30" ht="13.5" customHeight="1" thickBot="1" x14ac:dyDescent="0.2">
      <c r="A47" s="533"/>
      <c r="B47" s="543"/>
      <c r="C47" s="549"/>
      <c r="D47" s="536"/>
      <c r="E47" s="536"/>
      <c r="F47" s="552"/>
      <c r="G47" s="22" t="str">
        <f>IF(HLOOKUP($B42,$W$6:$AD$35,10,FALSE)=0,"",HLOOKUP($B42,$W$6:$AD$35,10,FALSE))</f>
        <v/>
      </c>
      <c r="H47" s="23" t="str">
        <f>IF(HLOOKUP($B42,$W$6:$AD$35,15,FALSE)=0,"",HLOOKUP($B42,$W$6:$AD$35,15,FALSE))</f>
        <v/>
      </c>
      <c r="I47" s="24"/>
      <c r="J47" s="24"/>
      <c r="K47" s="24"/>
      <c r="L47" s="24"/>
      <c r="M47" s="24"/>
      <c r="N47" s="24"/>
      <c r="O47" s="25"/>
      <c r="P47" s="546"/>
      <c r="Q47" s="557"/>
    </row>
    <row r="48" spans="1:30" ht="13.5" customHeight="1" thickBot="1" x14ac:dyDescent="0.2">
      <c r="A48" s="533">
        <v>8</v>
      </c>
      <c r="B48" s="541">
        <f>SMALL($W$6:$AD$6,A48)</f>
        <v>1.000001672601265</v>
      </c>
      <c r="C48" s="537" t="str">
        <f>HLOOKUP($B48,$W$6:$AD$35,2,FALSE)</f>
        <v>H</v>
      </c>
      <c r="D48" s="534">
        <f>HLOOKUP($B48,$W$6:$AD$35,3,FALSE)</f>
        <v>0</v>
      </c>
      <c r="E48" s="534">
        <f>HLOOKUP($B48,$W$6:$AD$35,4,FALSE)</f>
        <v>0</v>
      </c>
      <c r="F48" s="550">
        <f>HLOOKUP($B48,$W$6:$AD$35,5,FALSE)</f>
        <v>0</v>
      </c>
      <c r="G48" s="10" t="str">
        <f t="shared" ref="G48:O48" si="9">IF(G49="","",SUM(G49:G53))</f>
        <v/>
      </c>
      <c r="H48" s="11" t="str">
        <f t="shared" si="9"/>
        <v/>
      </c>
      <c r="I48" s="11" t="str">
        <f t="shared" si="9"/>
        <v/>
      </c>
      <c r="J48" s="11" t="str">
        <f t="shared" si="9"/>
        <v/>
      </c>
      <c r="K48" s="11" t="str">
        <f t="shared" si="9"/>
        <v/>
      </c>
      <c r="L48" s="11" t="str">
        <f t="shared" si="9"/>
        <v/>
      </c>
      <c r="M48" s="11" t="str">
        <f t="shared" si="9"/>
        <v/>
      </c>
      <c r="N48" s="11" t="str">
        <f t="shared" si="9"/>
        <v/>
      </c>
      <c r="O48" s="12" t="str">
        <f t="shared" si="9"/>
        <v/>
      </c>
      <c r="P48" s="544">
        <f>SUM(G48:O48)</f>
        <v>0</v>
      </c>
      <c r="Q48" s="555">
        <f>P42-P48</f>
        <v>0</v>
      </c>
    </row>
    <row r="49" spans="1:17" ht="13.5" customHeight="1" x14ac:dyDescent="0.15">
      <c r="A49" s="533"/>
      <c r="B49" s="542"/>
      <c r="C49" s="538"/>
      <c r="D49" s="535"/>
      <c r="E49" s="535"/>
      <c r="F49" s="551"/>
      <c r="G49" s="14" t="str">
        <f>IF(HLOOKUP($B48,$W$6:$AD$35,6,FALSE)=0,"",HLOOKUP($B48,$W$6:$AD$35,6,FALSE))</f>
        <v/>
      </c>
      <c r="H49" s="15" t="str">
        <f>IF(HLOOKUP($B48,$W$6:$AD$35,11,FALSE)=0,"",HLOOKUP($B48,$W$6:$AD$35,11,FALSE))</f>
        <v/>
      </c>
      <c r="I49" s="15" t="str">
        <f>IF(HLOOKUP($B48,$W$6:$AD$35,16,FALSE)=0,"",HLOOKUP($B48,$W$6:$AD$35,16,FALSE))</f>
        <v/>
      </c>
      <c r="J49" s="15" t="str">
        <f>IF(HLOOKUP($B48,$W$6:$AD$35,18,FALSE)=0,"",HLOOKUP($B48,$W$6:$AD$35,18,FALSE))</f>
        <v/>
      </c>
      <c r="K49" s="15" t="str">
        <f>IF(HLOOKUP($B48,$W$6:$AD$35,20,FALSE)=0,"",HLOOKUP($B48,$W$6:$AD$35,20,FALSE))</f>
        <v/>
      </c>
      <c r="L49" s="15" t="str">
        <f>IF(HLOOKUP($B48,$W$6:$AD$35,22,FALSE)=0,"",HLOOKUP($B48,$W$6:$AD$35,22,FALSE))</f>
        <v/>
      </c>
      <c r="M49" s="15" t="str">
        <f>IF(HLOOKUP($B48,$W$6:$AD$35,24,FALSE)=0,"",HLOOKUP($B48,$W$6:$AD$35,24,FALSE))</f>
        <v/>
      </c>
      <c r="N49" s="15" t="str">
        <f>IF(HLOOKUP($B48,$W$6:$AD$35,26,FALSE)=0,"",HLOOKUP($B48,$W$6:$AD$35,26,FALSE))</f>
        <v/>
      </c>
      <c r="O49" s="16" t="str">
        <f>IF(HLOOKUP($B48,$W$6:$AD$35,28,FALSE)=0,"",HLOOKUP($B48,$W$6:$AD$35,28,FALSE))</f>
        <v/>
      </c>
      <c r="P49" s="545"/>
      <c r="Q49" s="556"/>
    </row>
    <row r="50" spans="1:17" ht="13.5" customHeight="1" x14ac:dyDescent="0.15">
      <c r="A50" s="533"/>
      <c r="B50" s="542"/>
      <c r="C50" s="538"/>
      <c r="D50" s="535"/>
      <c r="E50" s="535"/>
      <c r="F50" s="551"/>
      <c r="G50" s="14" t="str">
        <f>IF(HLOOKUP($B48,$W$6:$AD$35,7,FALSE)=0,"",HLOOKUP($B48,$W$6:$AD$35,7,FALSE))</f>
        <v/>
      </c>
      <c r="H50" s="15" t="str">
        <f>IF(HLOOKUP($B48,$W$6:$AD$35,12,FALSE)=0,"",HLOOKUP($B48,$W$6:$AD$35,12,FALSE))</f>
        <v/>
      </c>
      <c r="I50" s="15" t="str">
        <f>IF(HLOOKUP($B48,$W$6:$AD$35,17,FALSE)=0,"",HLOOKUP($B48,$W$6:$AD$35,17,FALSE))</f>
        <v/>
      </c>
      <c r="J50" s="15" t="str">
        <f>IF(HLOOKUP($B48,$W$6:$AD$35,19,FALSE)=0,"",HLOOKUP($B48,$W$6:$AD$35,19,FALSE))</f>
        <v/>
      </c>
      <c r="K50" s="15" t="str">
        <f>IF(HLOOKUP($B48,$W$6:$AD$35,21,FALSE)=0,"",HLOOKUP($B48,$W$6:$AD$35,21,FALSE))</f>
        <v/>
      </c>
      <c r="L50" s="15" t="str">
        <f>IF(HLOOKUP($B48,$W$6:$AD$35,23,FALSE)=0,"",HLOOKUP($B48,$W$6:$AD$35,23,FALSE))</f>
        <v/>
      </c>
      <c r="M50" s="15" t="str">
        <f>IF(HLOOKUP($B48,$W$6:$AD$35,25,FALSE)=0,"",HLOOKUP($B48,$W$6:$AD$35,25,FALSE))</f>
        <v/>
      </c>
      <c r="N50" s="15" t="str">
        <f>IF(HLOOKUP($B48,$W$6:$AD$35,27,FALSE)=0,"",HLOOKUP($B48,$W$6:$AD$35,27,FALSE))</f>
        <v/>
      </c>
      <c r="O50" s="16" t="str">
        <f>IF(HLOOKUP($B48,$W$6:$AD$35,29,FALSE)=0,"",HLOOKUP($B48,$W$6:$AD$35,29,FALSE))</f>
        <v/>
      </c>
      <c r="P50" s="545"/>
      <c r="Q50" s="556"/>
    </row>
    <row r="51" spans="1:17" ht="13.5" customHeight="1" x14ac:dyDescent="0.15">
      <c r="A51" s="533"/>
      <c r="B51" s="542"/>
      <c r="C51" s="538"/>
      <c r="D51" s="535"/>
      <c r="E51" s="535"/>
      <c r="F51" s="551"/>
      <c r="G51" s="14" t="str">
        <f>IF(HLOOKUP($B48,$W$6:$AD$35,8,FALSE)=0,"",HLOOKUP($B48,$W$6:$AD$35,8,FALSE))</f>
        <v/>
      </c>
      <c r="H51" s="15" t="str">
        <f>IF(HLOOKUP($B48,$W$6:$AD$35,13,FALSE)=0,"",HLOOKUP($B48,$W$6:$AD$35,13,FALSE))</f>
        <v/>
      </c>
      <c r="I51" s="18"/>
      <c r="J51" s="18"/>
      <c r="K51" s="18"/>
      <c r="L51" s="18"/>
      <c r="M51" s="18"/>
      <c r="N51" s="18"/>
      <c r="O51" s="19"/>
      <c r="P51" s="545"/>
      <c r="Q51" s="556"/>
    </row>
    <row r="52" spans="1:17" ht="13.5" customHeight="1" x14ac:dyDescent="0.15">
      <c r="A52" s="533"/>
      <c r="B52" s="542"/>
      <c r="C52" s="538"/>
      <c r="D52" s="535"/>
      <c r="E52" s="535"/>
      <c r="F52" s="551"/>
      <c r="G52" s="14" t="str">
        <f>IF(HLOOKUP($B48,$W$6:$AD$35,9,FALSE)=0,"",HLOOKUP($B48,$W$6:$AD$35,9,FALSE))</f>
        <v/>
      </c>
      <c r="H52" s="15" t="str">
        <f>IF(HLOOKUP($B48,$W$6:$AD$35,14,FALSE)=0,"",HLOOKUP($B48,$W$6:$AD$35,14,FALSE))</f>
        <v/>
      </c>
      <c r="I52" s="20"/>
      <c r="J52" s="20"/>
      <c r="K52" s="20"/>
      <c r="L52" s="20"/>
      <c r="M52" s="20"/>
      <c r="N52" s="20"/>
      <c r="O52" s="21"/>
      <c r="P52" s="545"/>
      <c r="Q52" s="556"/>
    </row>
    <row r="53" spans="1:17" ht="13.5" customHeight="1" thickBot="1" x14ac:dyDescent="0.2">
      <c r="A53" s="533"/>
      <c r="B53" s="543"/>
      <c r="C53" s="539"/>
      <c r="D53" s="540"/>
      <c r="E53" s="540"/>
      <c r="F53" s="565"/>
      <c r="G53" s="22" t="str">
        <f>IF(HLOOKUP($B48,$W$6:$AD$35,10,FALSE)=0,"",HLOOKUP($B48,$W$6:$AD$35,10,FALSE))</f>
        <v/>
      </c>
      <c r="H53" s="23" t="str">
        <f>IF(HLOOKUP($B48,$W$6:$AD$35,15,FALSE)=0,"",HLOOKUP($B48,$W$6:$AD$35,15,FALSE))</f>
        <v/>
      </c>
      <c r="I53" s="24"/>
      <c r="J53" s="24"/>
      <c r="K53" s="24"/>
      <c r="L53" s="24"/>
      <c r="M53" s="24"/>
      <c r="N53" s="24"/>
      <c r="O53" s="25"/>
      <c r="P53" s="546"/>
      <c r="Q53" s="557"/>
    </row>
    <row r="54" spans="1:17" x14ac:dyDescent="0.15">
      <c r="C54" s="1"/>
    </row>
    <row r="55" spans="1:17" x14ac:dyDescent="0.15">
      <c r="C55" s="1"/>
    </row>
    <row r="56" spans="1:17" x14ac:dyDescent="0.15">
      <c r="C56" s="1"/>
    </row>
    <row r="57" spans="1:17" x14ac:dyDescent="0.15">
      <c r="C57" s="1"/>
    </row>
    <row r="58" spans="1:17" x14ac:dyDescent="0.15">
      <c r="C58" s="1"/>
    </row>
    <row r="59" spans="1:17" x14ac:dyDescent="0.15">
      <c r="C59" s="1"/>
    </row>
    <row r="60" spans="1:17" x14ac:dyDescent="0.15">
      <c r="C60" s="1"/>
    </row>
    <row r="61" spans="1:17" x14ac:dyDescent="0.15">
      <c r="C61" s="1"/>
    </row>
    <row r="62" spans="1:17" x14ac:dyDescent="0.15">
      <c r="C62" s="1"/>
    </row>
    <row r="63" spans="1:17" x14ac:dyDescent="0.15">
      <c r="C63" s="1"/>
    </row>
    <row r="64" spans="1:17" x14ac:dyDescent="0.15">
      <c r="C64" s="1"/>
    </row>
    <row r="65" spans="3:3" x14ac:dyDescent="0.15">
      <c r="C65" s="1"/>
    </row>
    <row r="66" spans="3:3" x14ac:dyDescent="0.15">
      <c r="C66" s="1"/>
    </row>
    <row r="67" spans="3:3" x14ac:dyDescent="0.15">
      <c r="C67" s="1"/>
    </row>
    <row r="68" spans="3:3" x14ac:dyDescent="0.15">
      <c r="C68" s="1"/>
    </row>
    <row r="69" spans="3:3" x14ac:dyDescent="0.15">
      <c r="C69" s="1"/>
    </row>
    <row r="70" spans="3:3" x14ac:dyDescent="0.15">
      <c r="C70" s="1"/>
    </row>
    <row r="71" spans="3:3" x14ac:dyDescent="0.15">
      <c r="C71" s="1"/>
    </row>
    <row r="72" spans="3:3" x14ac:dyDescent="0.15">
      <c r="C72" s="1"/>
    </row>
    <row r="73" spans="3:3" x14ac:dyDescent="0.15">
      <c r="C73" s="1"/>
    </row>
    <row r="74" spans="3:3" x14ac:dyDescent="0.15">
      <c r="C74" s="1"/>
    </row>
    <row r="75" spans="3:3" x14ac:dyDescent="0.15">
      <c r="C75" s="1"/>
    </row>
    <row r="76" spans="3:3" x14ac:dyDescent="0.15">
      <c r="C76" s="1"/>
    </row>
    <row r="77" spans="3:3" x14ac:dyDescent="0.15">
      <c r="C77" s="1"/>
    </row>
    <row r="78" spans="3:3" x14ac:dyDescent="0.15">
      <c r="C78" s="1"/>
    </row>
    <row r="79" spans="3:3" x14ac:dyDescent="0.15">
      <c r="C79" s="1"/>
    </row>
    <row r="80" spans="3:3" x14ac:dyDescent="0.15">
      <c r="C80" s="1"/>
    </row>
    <row r="81" spans="3:3" x14ac:dyDescent="0.15">
      <c r="C81" s="1"/>
    </row>
    <row r="82" spans="3:3" x14ac:dyDescent="0.15">
      <c r="C82" s="1"/>
    </row>
    <row r="83" spans="3:3" x14ac:dyDescent="0.15">
      <c r="C83" s="1"/>
    </row>
    <row r="84" spans="3:3" x14ac:dyDescent="0.15">
      <c r="C84" s="1"/>
    </row>
  </sheetData>
  <mergeCells count="75">
    <mergeCell ref="A4:A5"/>
    <mergeCell ref="E6:E11"/>
    <mergeCell ref="D6:D11"/>
    <mergeCell ref="C6:C11"/>
    <mergeCell ref="C12:C17"/>
    <mergeCell ref="D12:D17"/>
    <mergeCell ref="E12:E17"/>
    <mergeCell ref="B12:B17"/>
    <mergeCell ref="C4:C5"/>
    <mergeCell ref="D4:D5"/>
    <mergeCell ref="A6:A11"/>
    <mergeCell ref="A12:A17"/>
    <mergeCell ref="E4:E5"/>
    <mergeCell ref="F18:F23"/>
    <mergeCell ref="C24:C29"/>
    <mergeCell ref="D24:D29"/>
    <mergeCell ref="E24:E29"/>
    <mergeCell ref="F24:F29"/>
    <mergeCell ref="C36:C41"/>
    <mergeCell ref="D36:D41"/>
    <mergeCell ref="F36:F41"/>
    <mergeCell ref="C42:C47"/>
    <mergeCell ref="E36:E41"/>
    <mergeCell ref="V7:V10"/>
    <mergeCell ref="Q4:Q5"/>
    <mergeCell ref="Q6:Q11"/>
    <mergeCell ref="Q12:Q17"/>
    <mergeCell ref="Q18:Q23"/>
    <mergeCell ref="P48:P53"/>
    <mergeCell ref="P4:P5"/>
    <mergeCell ref="P42:P47"/>
    <mergeCell ref="Q48:Q53"/>
    <mergeCell ref="F42:F47"/>
    <mergeCell ref="G4:H4"/>
    <mergeCell ref="I4:O5"/>
    <mergeCell ref="P36:P41"/>
    <mergeCell ref="Q24:Q29"/>
    <mergeCell ref="Q30:Q35"/>
    <mergeCell ref="Q36:Q41"/>
    <mergeCell ref="Q42:Q47"/>
    <mergeCell ref="F12:F17"/>
    <mergeCell ref="F48:F53"/>
    <mergeCell ref="F30:F35"/>
    <mergeCell ref="F4:F5"/>
    <mergeCell ref="P24:P29"/>
    <mergeCell ref="B24:B29"/>
    <mergeCell ref="P30:P35"/>
    <mergeCell ref="B4:B5"/>
    <mergeCell ref="P6:P11"/>
    <mergeCell ref="B6:B11"/>
    <mergeCell ref="P12:P17"/>
    <mergeCell ref="P18:P23"/>
    <mergeCell ref="B18:B23"/>
    <mergeCell ref="C18:C23"/>
    <mergeCell ref="F6:F11"/>
    <mergeCell ref="C30:C35"/>
    <mergeCell ref="D30:D35"/>
    <mergeCell ref="E30:E35"/>
    <mergeCell ref="D18:D23"/>
    <mergeCell ref="E18:E23"/>
    <mergeCell ref="A18:A23"/>
    <mergeCell ref="A24:A29"/>
    <mergeCell ref="A30:A35"/>
    <mergeCell ref="B30:B35"/>
    <mergeCell ref="A36:A41"/>
    <mergeCell ref="B36:B41"/>
    <mergeCell ref="A42:A47"/>
    <mergeCell ref="A48:A53"/>
    <mergeCell ref="E42:E47"/>
    <mergeCell ref="C48:C53"/>
    <mergeCell ref="D48:D53"/>
    <mergeCell ref="E48:E53"/>
    <mergeCell ref="B48:B53"/>
    <mergeCell ref="B42:B47"/>
    <mergeCell ref="D42:D47"/>
  </mergeCells>
  <phoneticPr fontId="1"/>
  <conditionalFormatting sqref="G6:H48">
    <cfRule type="cellIs" dxfId="8" priority="8" stopIfTrue="1" operator="greaterThan">
      <formula>52.4</formula>
    </cfRule>
  </conditionalFormatting>
  <conditionalFormatting sqref="G7:O17">
    <cfRule type="cellIs" dxfId="7" priority="172" stopIfTrue="1" operator="greaterThan">
      <formula>10.4</formula>
    </cfRule>
  </conditionalFormatting>
  <conditionalFormatting sqref="G19:O53">
    <cfRule type="cellIs" dxfId="6" priority="10" stopIfTrue="1" operator="greaterThan">
      <formula>10.4</formula>
    </cfRule>
  </conditionalFormatting>
  <conditionalFormatting sqref="I6:O48">
    <cfRule type="cellIs" dxfId="5" priority="1" stopIfTrue="1" operator="greaterThan">
      <formula>20.9</formula>
    </cfRule>
  </conditionalFormatting>
  <printOptions horizontalCentered="1"/>
  <pageMargins left="0" right="0" top="0.78740157480314965" bottom="0" header="0" footer="0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pageSetUpPr fitToPage="1"/>
  </sheetPr>
  <dimension ref="A1:AD84"/>
  <sheetViews>
    <sheetView view="pageBreakPreview" topLeftCell="A6" zoomScale="85" zoomScaleNormal="100" zoomScaleSheetLayoutView="85" workbookViewId="0">
      <pane xSplit="17" topLeftCell="U1" activePane="topRight" state="frozenSplit"/>
      <selection activeCell="D19" sqref="D19"/>
      <selection pane="topRight" activeCell="Q42" sqref="Q42:Q47"/>
    </sheetView>
  </sheetViews>
  <sheetFormatPr defaultColWidth="9" defaultRowHeight="13.5" x14ac:dyDescent="0.15"/>
  <cols>
    <col min="1" max="1" width="0.875" style="6" customWidth="1"/>
    <col min="2" max="2" width="3.625" style="1" bestFit="1" customWidth="1"/>
    <col min="3" max="3" width="3.25" style="3" bestFit="1" customWidth="1"/>
    <col min="4" max="4" width="13.25" style="1" bestFit="1" customWidth="1"/>
    <col min="5" max="5" width="9.25" style="1" bestFit="1" customWidth="1"/>
    <col min="6" max="6" width="8.625" style="1" bestFit="1" customWidth="1"/>
    <col min="7" max="7" width="7.375" style="1" bestFit="1" customWidth="1"/>
    <col min="8" max="15" width="7.375" style="1" customWidth="1"/>
    <col min="16" max="16" width="8.125" style="1" bestFit="1" customWidth="1"/>
    <col min="17" max="17" width="7.375" style="1" bestFit="1" customWidth="1"/>
    <col min="18" max="21" width="9" style="1"/>
    <col min="22" max="22" width="5.375" style="1" bestFit="1" customWidth="1"/>
    <col min="23" max="30" width="5.625" style="1" bestFit="1" customWidth="1"/>
    <col min="31" max="16384" width="9" style="1"/>
  </cols>
  <sheetData>
    <row r="1" spans="1:30" ht="30" customHeight="1" x14ac:dyDescent="0.15"/>
    <row r="2" spans="1:30" ht="30" customHeight="1" x14ac:dyDescent="0.15">
      <c r="C2" s="2" t="s">
        <v>64</v>
      </c>
      <c r="D2" s="2"/>
      <c r="E2" s="2"/>
      <c r="F2" s="7" t="s">
        <v>70</v>
      </c>
      <c r="G2" s="2"/>
      <c r="H2" s="2"/>
      <c r="I2" s="2"/>
      <c r="J2" s="2"/>
      <c r="K2" s="2"/>
      <c r="L2" s="2"/>
      <c r="M2" s="2"/>
      <c r="N2" s="2"/>
      <c r="O2" s="2"/>
    </row>
    <row r="3" spans="1:30" ht="18" thickBo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30" x14ac:dyDescent="0.15">
      <c r="A4" s="572"/>
      <c r="B4" s="547" t="s">
        <v>4</v>
      </c>
      <c r="C4" s="573" t="s">
        <v>0</v>
      </c>
      <c r="D4" s="575" t="s">
        <v>1</v>
      </c>
      <c r="E4" s="575" t="s">
        <v>2</v>
      </c>
      <c r="F4" s="566" t="s">
        <v>26</v>
      </c>
      <c r="G4" s="558" t="s">
        <v>53</v>
      </c>
      <c r="H4" s="559"/>
      <c r="I4" s="560" t="s">
        <v>54</v>
      </c>
      <c r="J4" s="561"/>
      <c r="K4" s="561"/>
      <c r="L4" s="561"/>
      <c r="M4" s="561"/>
      <c r="N4" s="561"/>
      <c r="O4" s="562"/>
      <c r="P4" s="554" t="s">
        <v>8</v>
      </c>
      <c r="Q4" s="562" t="s">
        <v>55</v>
      </c>
    </row>
    <row r="5" spans="1:30" ht="14.25" thickBot="1" x14ac:dyDescent="0.2">
      <c r="A5" s="572"/>
      <c r="B5" s="548"/>
      <c r="C5" s="574"/>
      <c r="D5" s="576"/>
      <c r="E5" s="576"/>
      <c r="F5" s="567"/>
      <c r="G5" s="8" t="s">
        <v>61</v>
      </c>
      <c r="H5" s="9" t="s">
        <v>62</v>
      </c>
      <c r="I5" s="563"/>
      <c r="J5" s="564"/>
      <c r="K5" s="564"/>
      <c r="L5" s="564"/>
      <c r="M5" s="564"/>
      <c r="N5" s="564"/>
      <c r="O5" s="557"/>
      <c r="P5" s="546"/>
      <c r="Q5" s="557"/>
    </row>
    <row r="6" spans="1:30" ht="13.5" customHeight="1" thickBot="1" x14ac:dyDescent="0.2">
      <c r="A6" s="533">
        <v>1</v>
      </c>
      <c r="B6" s="541">
        <f>SMALL($W$6:$AD$6,A6)</f>
        <v>1.0000002090751581</v>
      </c>
      <c r="C6" s="537" t="str">
        <f>HLOOKUP($B6,$W$6:$AD$35,2,FALSE)</f>
        <v>A</v>
      </c>
      <c r="D6" s="534">
        <f>HLOOKUP($B6,$W$6:$AD$35,3,FALSE)</f>
        <v>0</v>
      </c>
      <c r="E6" s="534">
        <f>HLOOKUP($B6,$W$6:$AD$35,4,FALSE)</f>
        <v>0</v>
      </c>
      <c r="F6" s="550">
        <f>HLOOKUP($B6,$W$6:$AD$35,5,FALSE)</f>
        <v>0</v>
      </c>
      <c r="G6" s="10" t="str">
        <f t="shared" ref="G6:O6" si="0">IF(G7="","",SUM(G7:G11))</f>
        <v/>
      </c>
      <c r="H6" s="11" t="str">
        <f t="shared" si="0"/>
        <v/>
      </c>
      <c r="I6" s="11" t="str">
        <f t="shared" si="0"/>
        <v/>
      </c>
      <c r="J6" s="11" t="str">
        <f t="shared" si="0"/>
        <v/>
      </c>
      <c r="K6" s="11" t="str">
        <f t="shared" si="0"/>
        <v/>
      </c>
      <c r="L6" s="11" t="str">
        <f t="shared" si="0"/>
        <v/>
      </c>
      <c r="M6" s="11" t="str">
        <f t="shared" si="0"/>
        <v/>
      </c>
      <c r="N6" s="11" t="str">
        <f t="shared" si="0"/>
        <v/>
      </c>
      <c r="O6" s="12" t="str">
        <f t="shared" si="0"/>
        <v/>
      </c>
      <c r="P6" s="544">
        <f>SUM(G6:O6)</f>
        <v>0</v>
      </c>
      <c r="Q6" s="569"/>
      <c r="V6" s="13" t="s">
        <v>4</v>
      </c>
      <c r="W6" s="5">
        <f t="shared" ref="W6:AD6" si="1">RANK(W$35,$W$35:$AD$35)+COLUMN(A1)/9^7</f>
        <v>1.0000002090751581</v>
      </c>
      <c r="X6" s="5">
        <f t="shared" si="1"/>
        <v>1.0000004181503162</v>
      </c>
      <c r="Y6" s="5">
        <f t="shared" si="1"/>
        <v>1.0000006272254744</v>
      </c>
      <c r="Z6" s="5">
        <f t="shared" si="1"/>
        <v>1.0000008363006325</v>
      </c>
      <c r="AA6" s="5">
        <f t="shared" si="1"/>
        <v>1.0000010453757906</v>
      </c>
      <c r="AB6" s="5">
        <f t="shared" si="1"/>
        <v>1.0000012544509487</v>
      </c>
      <c r="AC6" s="5">
        <f t="shared" si="1"/>
        <v>1.000001463526107</v>
      </c>
      <c r="AD6" s="5">
        <f t="shared" si="1"/>
        <v>1.000001672601265</v>
      </c>
    </row>
    <row r="7" spans="1:30" ht="13.5" customHeight="1" x14ac:dyDescent="0.15">
      <c r="A7" s="533"/>
      <c r="B7" s="542"/>
      <c r="C7" s="538"/>
      <c r="D7" s="535"/>
      <c r="E7" s="535"/>
      <c r="F7" s="551"/>
      <c r="G7" s="14" t="str">
        <f>IF(HLOOKUP($B6,$W$6:$AD$35,6,FALSE)=0,"",HLOOKUP($B6,$W$6:$AD$35,6,FALSE))</f>
        <v/>
      </c>
      <c r="H7" s="15" t="str">
        <f>IF(HLOOKUP($B6,$W$6:$AD$35,11,FALSE)=0,"",HLOOKUP($B6,$W$6:$AD$35,11,FALSE))</f>
        <v/>
      </c>
      <c r="I7" s="15" t="str">
        <f>IF(HLOOKUP($B6,$W$6:$AD$35,16,FALSE)=0,"",HLOOKUP($B6,$W$6:$AD$35,16,FALSE))</f>
        <v/>
      </c>
      <c r="J7" s="15" t="str">
        <f>IF(HLOOKUP($B6,$W$6:$AD$35,18,FALSE)=0,"",HLOOKUP($B6,$W$6:$AD$35,18,FALSE))</f>
        <v/>
      </c>
      <c r="K7" s="15" t="str">
        <f>IF(HLOOKUP($B6,$W$6:$AD$35,20,FALSE)=0,"",HLOOKUP($B6,$W$6:$AD$35,20,FALSE))</f>
        <v/>
      </c>
      <c r="L7" s="15" t="str">
        <f>IF(HLOOKUP($B6,$W$6:$AD$35,22,FALSE)=0,"",HLOOKUP($B6,$W$6:$AD$35,22,FALSE))</f>
        <v/>
      </c>
      <c r="M7" s="15" t="str">
        <f>IF(HLOOKUP($B6,$W$6:$AD$35,24,FALSE)=0,"",HLOOKUP($B6,$W$6:$AD$35,24,FALSE))</f>
        <v/>
      </c>
      <c r="N7" s="15" t="str">
        <f>IF(HLOOKUP($B6,$W$6:$AD$35,26,FALSE)=0,"",HLOOKUP($B6,$W$6:$AD$35,26,FALSE))</f>
        <v/>
      </c>
      <c r="O7" s="16" t="str">
        <f>IF(HLOOKUP($B6,$W$6:$AD$35,28,FALSE)=0,"",HLOOKUP($B6,$W$6:$AD$35,28,FALSE))</f>
        <v/>
      </c>
      <c r="P7" s="545"/>
      <c r="Q7" s="570"/>
      <c r="V7" s="568"/>
      <c r="W7" s="17" t="s">
        <v>50</v>
      </c>
      <c r="X7" s="17" t="s">
        <v>51</v>
      </c>
      <c r="Y7" s="17" t="s">
        <v>56</v>
      </c>
      <c r="Z7" s="17" t="s">
        <v>57</v>
      </c>
      <c r="AA7" s="17" t="s">
        <v>58</v>
      </c>
      <c r="AB7" s="17" t="s">
        <v>59</v>
      </c>
      <c r="AC7" s="17" t="s">
        <v>52</v>
      </c>
      <c r="AD7" s="17" t="s">
        <v>60</v>
      </c>
    </row>
    <row r="8" spans="1:30" ht="13.5" customHeight="1" x14ac:dyDescent="0.15">
      <c r="A8" s="533"/>
      <c r="B8" s="542"/>
      <c r="C8" s="538"/>
      <c r="D8" s="535"/>
      <c r="E8" s="535"/>
      <c r="F8" s="551"/>
      <c r="G8" s="14" t="str">
        <f>IF(HLOOKUP($B6,$W$6:$AD$35,7,FALSE)=0,"",HLOOKUP($B6,$W$6:$AD$35,7,FALSE))</f>
        <v/>
      </c>
      <c r="H8" s="15" t="str">
        <f>IF(HLOOKUP($B6,$W$6:$AD$35,12,FALSE)=0,"",HLOOKUP($B6,$W$6:$AD$35,12,FALSE))</f>
        <v/>
      </c>
      <c r="I8" s="15" t="str">
        <f>IF(HLOOKUP($B6,$W$6:$AD$35,17,FALSE)=0,"",HLOOKUP($B6,$W$6:$AD$35,17,FALSE))</f>
        <v/>
      </c>
      <c r="J8" s="15" t="str">
        <f>IF(HLOOKUP($B6,$W$6:$AD$35,19,FALSE)=0,"",HLOOKUP($B6,$W$6:$AD$35,19,FALSE))</f>
        <v/>
      </c>
      <c r="K8" s="15" t="str">
        <f>IF(HLOOKUP($B6,$W$6:$AD$35,21,FALSE)=0,"",HLOOKUP($B6,$W$6:$AD$35,21,FALSE))</f>
        <v/>
      </c>
      <c r="L8" s="15" t="str">
        <f>IF(HLOOKUP($B6,$W$6:$AD$35,23,FALSE)=0,"",HLOOKUP($B6,$W$6:$AD$35,23,FALSE))</f>
        <v/>
      </c>
      <c r="M8" s="15" t="str">
        <f>IF(HLOOKUP($B6,$W$6:$AD$35,25,FALSE)=0,"",HLOOKUP($B6,$W$6:$AD$35,25,FALSE))</f>
        <v/>
      </c>
      <c r="N8" s="15" t="str">
        <f>IF(HLOOKUP($B6,$W$6:$AD$35,27,FALSE)=0,"",HLOOKUP($B6,$W$6:$AD$35,27,FALSE))</f>
        <v/>
      </c>
      <c r="O8" s="16" t="str">
        <f>IF(HLOOKUP($B6,$W$6:$AD$35,29,FALSE)=0,"",HLOOKUP($B6,$W$6:$AD$35,29,FALSE))</f>
        <v/>
      </c>
      <c r="P8" s="545"/>
      <c r="Q8" s="570"/>
      <c r="V8" s="568"/>
      <c r="W8" s="17"/>
      <c r="X8" s="17"/>
      <c r="Y8" s="17"/>
      <c r="Z8" s="17"/>
      <c r="AA8" s="17"/>
      <c r="AB8" s="17"/>
      <c r="AC8" s="17"/>
      <c r="AD8" s="17"/>
    </row>
    <row r="9" spans="1:30" ht="13.5" customHeight="1" x14ac:dyDescent="0.15">
      <c r="A9" s="533"/>
      <c r="B9" s="542"/>
      <c r="C9" s="538"/>
      <c r="D9" s="535"/>
      <c r="E9" s="535"/>
      <c r="F9" s="551"/>
      <c r="G9" s="14" t="str">
        <f>IF(HLOOKUP($B6,$W$6:$AD$35,8,FALSE)=0,"",HLOOKUP($B6,$W$6:$AD$35,8,FALSE))</f>
        <v/>
      </c>
      <c r="H9" s="15" t="str">
        <f>IF(HLOOKUP($B6,$W$6:$AD$35,13,FALSE)=0,"",HLOOKUP($B6,$W$6:$AD$35,13,FALSE))</f>
        <v/>
      </c>
      <c r="I9" s="18"/>
      <c r="J9" s="18"/>
      <c r="K9" s="18"/>
      <c r="L9" s="18"/>
      <c r="M9" s="18"/>
      <c r="N9" s="18"/>
      <c r="O9" s="19"/>
      <c r="P9" s="545"/>
      <c r="Q9" s="570"/>
      <c r="V9" s="568"/>
      <c r="W9" s="17"/>
      <c r="X9" s="17"/>
      <c r="Y9" s="17"/>
      <c r="Z9" s="17"/>
      <c r="AA9" s="17"/>
      <c r="AB9" s="17"/>
      <c r="AC9" s="17"/>
      <c r="AD9" s="17"/>
    </row>
    <row r="10" spans="1:30" ht="13.5" customHeight="1" x14ac:dyDescent="0.15">
      <c r="A10" s="533"/>
      <c r="B10" s="542"/>
      <c r="C10" s="538"/>
      <c r="D10" s="535"/>
      <c r="E10" s="535"/>
      <c r="F10" s="551"/>
      <c r="G10" s="14" t="str">
        <f>IF(HLOOKUP($B6,$W$6:$AD$35,9,FALSE)=0,"",HLOOKUP($B6,$W$6:$AD$35,9,FALSE))</f>
        <v/>
      </c>
      <c r="H10" s="15" t="str">
        <f>IF(HLOOKUP($B6,$W$6:$AD$35,14,FALSE)=0,"",HLOOKUP($B6,$W$6:$AD$35,14,FALSE))</f>
        <v/>
      </c>
      <c r="I10" s="20"/>
      <c r="J10" s="20"/>
      <c r="K10" s="20"/>
      <c r="L10" s="20"/>
      <c r="M10" s="20"/>
      <c r="N10" s="20"/>
      <c r="O10" s="21"/>
      <c r="P10" s="545"/>
      <c r="Q10" s="570"/>
      <c r="V10" s="568"/>
      <c r="W10" s="17"/>
      <c r="X10" s="17"/>
      <c r="Y10" s="17"/>
      <c r="Z10" s="17"/>
      <c r="AA10" s="17"/>
      <c r="AB10" s="17"/>
      <c r="AC10" s="17"/>
      <c r="AD10" s="17"/>
    </row>
    <row r="11" spans="1:30" ht="13.5" customHeight="1" thickBot="1" x14ac:dyDescent="0.2">
      <c r="A11" s="533"/>
      <c r="B11" s="543"/>
      <c r="C11" s="549"/>
      <c r="D11" s="536"/>
      <c r="E11" s="536"/>
      <c r="F11" s="552"/>
      <c r="G11" s="22" t="str">
        <f>IF(HLOOKUP($B6,$W$6:$AD$35,10,FALSE)=0,"",HLOOKUP($B6,$W$6:$AD$35,10,FALSE))</f>
        <v/>
      </c>
      <c r="H11" s="23" t="str">
        <f>IF(HLOOKUP($B6,$W$6:$AD$35,15,FALSE)=0,"",HLOOKUP($B6,$W$6:$AD$35,15,FALSE))</f>
        <v/>
      </c>
      <c r="I11" s="24"/>
      <c r="J11" s="24"/>
      <c r="K11" s="24"/>
      <c r="L11" s="24"/>
      <c r="M11" s="24"/>
      <c r="N11" s="24"/>
      <c r="O11" s="25"/>
      <c r="P11" s="546"/>
      <c r="Q11" s="571"/>
      <c r="V11" s="4">
        <v>1</v>
      </c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 thickBot="1" x14ac:dyDescent="0.2">
      <c r="A12" s="533">
        <v>2</v>
      </c>
      <c r="B12" s="541">
        <f>SMALL($W$6:$AD$6,A12)</f>
        <v>1.0000004181503162</v>
      </c>
      <c r="C12" s="537" t="str">
        <f>HLOOKUP($B12,$W$6:$AD$35,2,FALSE)</f>
        <v>B</v>
      </c>
      <c r="D12" s="534">
        <f>HLOOKUP($B12,$W$6:$AD$35,3,FALSE)</f>
        <v>0</v>
      </c>
      <c r="E12" s="534">
        <f>HLOOKUP($B12,$W$6:$AD$35,4,FALSE)</f>
        <v>0</v>
      </c>
      <c r="F12" s="550">
        <f>HLOOKUP($B12,$W$6:$AD$35,5,FALSE)</f>
        <v>0</v>
      </c>
      <c r="G12" s="10" t="str">
        <f t="shared" ref="G12:O12" si="2">IF(G13="","",SUM(G13:G17))</f>
        <v/>
      </c>
      <c r="H12" s="11" t="str">
        <f t="shared" si="2"/>
        <v/>
      </c>
      <c r="I12" s="11" t="str">
        <f t="shared" si="2"/>
        <v/>
      </c>
      <c r="J12" s="11" t="str">
        <f t="shared" si="2"/>
        <v/>
      </c>
      <c r="K12" s="11" t="str">
        <f t="shared" si="2"/>
        <v/>
      </c>
      <c r="L12" s="11" t="str">
        <f t="shared" si="2"/>
        <v/>
      </c>
      <c r="M12" s="11" t="str">
        <f t="shared" si="2"/>
        <v/>
      </c>
      <c r="N12" s="11" t="str">
        <f t="shared" si="2"/>
        <v/>
      </c>
      <c r="O12" s="12" t="str">
        <f t="shared" si="2"/>
        <v/>
      </c>
      <c r="P12" s="544">
        <f>SUM(G12:O12)</f>
        <v>0</v>
      </c>
      <c r="Q12" s="555">
        <f>P6-P12</f>
        <v>0</v>
      </c>
      <c r="V12" s="4">
        <v>2</v>
      </c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 x14ac:dyDescent="0.15">
      <c r="A13" s="533"/>
      <c r="B13" s="542"/>
      <c r="C13" s="538"/>
      <c r="D13" s="535"/>
      <c r="E13" s="535"/>
      <c r="F13" s="551"/>
      <c r="G13" s="14" t="str">
        <f>IF(HLOOKUP($B12,$W$6:$AD$35,6,FALSE)=0,"",HLOOKUP($B12,$W$6:$AD$35,6,FALSE))</f>
        <v/>
      </c>
      <c r="H13" s="15" t="str">
        <f>IF(HLOOKUP($B12,$W$6:$AD$35,11,FALSE)=0,"",HLOOKUP($B12,$W$6:$AD$35,11,FALSE))</f>
        <v/>
      </c>
      <c r="I13" s="15" t="str">
        <f>IF(HLOOKUP($B12,$W$6:$AD$35,16,FALSE)=0,"",HLOOKUP($B12,$W$6:$AD$35,16,FALSE))</f>
        <v/>
      </c>
      <c r="J13" s="15" t="str">
        <f>IF(HLOOKUP($B12,$W$6:$AD$35,18,FALSE)=0,"",HLOOKUP($B12,$W$6:$AD$35,18,FALSE))</f>
        <v/>
      </c>
      <c r="K13" s="15" t="str">
        <f>IF(HLOOKUP($B12,$W$6:$AD$35,20,FALSE)=0,"",HLOOKUP($B12,$W$6:$AD$35,20,FALSE))</f>
        <v/>
      </c>
      <c r="L13" s="15" t="str">
        <f>IF(HLOOKUP($B12,$W$6:$AD$35,22,FALSE)=0,"",HLOOKUP($B12,$W$6:$AD$35,22,FALSE))</f>
        <v/>
      </c>
      <c r="M13" s="15" t="str">
        <f>IF(HLOOKUP($B12,$W$6:$AD$35,24,FALSE)=0,"",HLOOKUP($B12,$W$6:$AD$35,24,FALSE))</f>
        <v/>
      </c>
      <c r="N13" s="15" t="str">
        <f>IF(HLOOKUP($B12,$W$6:$AD$35,26,FALSE)=0,"",HLOOKUP($B12,$W$6:$AD$35,26,FALSE))</f>
        <v/>
      </c>
      <c r="O13" s="16" t="str">
        <f>IF(HLOOKUP($B12,$W$6:$AD$35,28,FALSE)=0,"",HLOOKUP($B12,$W$6:$AD$35,28,FALSE))</f>
        <v/>
      </c>
      <c r="P13" s="545"/>
      <c r="Q13" s="556"/>
      <c r="V13" s="4">
        <v>3</v>
      </c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 x14ac:dyDescent="0.15">
      <c r="A14" s="533"/>
      <c r="B14" s="542"/>
      <c r="C14" s="538"/>
      <c r="D14" s="535"/>
      <c r="E14" s="535"/>
      <c r="F14" s="551"/>
      <c r="G14" s="14" t="str">
        <f>IF(HLOOKUP($B12,$W$6:$AD$35,7,FALSE)=0,"",HLOOKUP($B12,$W$6:$AD$35,7,FALSE))</f>
        <v/>
      </c>
      <c r="H14" s="15" t="str">
        <f>IF(HLOOKUP($B12,$W$6:$AD$35,12,FALSE)=0,"",HLOOKUP($B12,$W$6:$AD$35,12,FALSE))</f>
        <v/>
      </c>
      <c r="I14" s="15" t="str">
        <f>IF(HLOOKUP($B12,$W$6:$AD$35,17,FALSE)=0,"",HLOOKUP($B12,$W$6:$AD$35,17,FALSE))</f>
        <v/>
      </c>
      <c r="J14" s="15" t="str">
        <f>IF(HLOOKUP($B12,$W$6:$AD$35,19,FALSE)=0,"",HLOOKUP($B12,$W$6:$AD$35,19,FALSE))</f>
        <v/>
      </c>
      <c r="K14" s="15" t="str">
        <f>IF(HLOOKUP($B12,$W$6:$AD$35,21,FALSE)=0,"",HLOOKUP($B12,$W$6:$AD$35,21,FALSE))</f>
        <v/>
      </c>
      <c r="L14" s="15" t="str">
        <f>IF(HLOOKUP($B12,$W$6:$AD$35,23,FALSE)=0,"",HLOOKUP($B12,$W$6:$AD$35,23,FALSE))</f>
        <v/>
      </c>
      <c r="M14" s="15" t="str">
        <f>IF(HLOOKUP($B12,$W$6:$AD$35,25,FALSE)=0,"",HLOOKUP($B12,$W$6:$AD$35,25,FALSE))</f>
        <v/>
      </c>
      <c r="N14" s="15" t="str">
        <f>IF(HLOOKUP($B12,$W$6:$AD$35,27,FALSE)=0,"",HLOOKUP($B12,$W$6:$AD$35,27,FALSE))</f>
        <v/>
      </c>
      <c r="O14" s="16" t="str">
        <f>IF(HLOOKUP($B12,$W$6:$AD$35,29,FALSE)=0,"",HLOOKUP($B12,$W$6:$AD$35,29,FALSE))</f>
        <v/>
      </c>
      <c r="P14" s="545"/>
      <c r="Q14" s="556"/>
      <c r="V14" s="4">
        <v>4</v>
      </c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 x14ac:dyDescent="0.15">
      <c r="A15" s="533"/>
      <c r="B15" s="542"/>
      <c r="C15" s="538"/>
      <c r="D15" s="535"/>
      <c r="E15" s="535"/>
      <c r="F15" s="551"/>
      <c r="G15" s="14" t="str">
        <f>IF(HLOOKUP($B12,$W$6:$AD$35,8,FALSE)=0,"",HLOOKUP($B12,$W$6:$AD$35,8,FALSE))</f>
        <v/>
      </c>
      <c r="H15" s="15" t="str">
        <f>IF(HLOOKUP($B12,$W$6:$AD$35,13,FALSE)=0,"",HLOOKUP($B12,$W$6:$AD$35,13,FALSE))</f>
        <v/>
      </c>
      <c r="I15" s="18"/>
      <c r="J15" s="18"/>
      <c r="K15" s="18"/>
      <c r="L15" s="18"/>
      <c r="M15" s="18"/>
      <c r="N15" s="18"/>
      <c r="O15" s="19"/>
      <c r="P15" s="545"/>
      <c r="Q15" s="556"/>
      <c r="V15" s="4">
        <v>5</v>
      </c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 x14ac:dyDescent="0.15">
      <c r="A16" s="533"/>
      <c r="B16" s="542"/>
      <c r="C16" s="538"/>
      <c r="D16" s="535"/>
      <c r="E16" s="535"/>
      <c r="F16" s="551"/>
      <c r="G16" s="14" t="str">
        <f>IF(HLOOKUP($B12,$W$6:$AD$35,9,FALSE)=0,"",HLOOKUP($B12,$W$6:$AD$35,9,FALSE))</f>
        <v/>
      </c>
      <c r="H16" s="15" t="str">
        <f>IF(HLOOKUP($B12,$W$6:$AD$35,14,FALSE)=0,"",HLOOKUP($B12,$W$6:$AD$35,14,FALSE))</f>
        <v/>
      </c>
      <c r="I16" s="20"/>
      <c r="J16" s="20"/>
      <c r="K16" s="20"/>
      <c r="L16" s="20"/>
      <c r="M16" s="20"/>
      <c r="N16" s="20"/>
      <c r="O16" s="21"/>
      <c r="P16" s="545"/>
      <c r="Q16" s="556"/>
      <c r="V16" s="4">
        <v>6</v>
      </c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 thickBot="1" x14ac:dyDescent="0.2">
      <c r="A17" s="533"/>
      <c r="B17" s="543"/>
      <c r="C17" s="549"/>
      <c r="D17" s="536"/>
      <c r="E17" s="536"/>
      <c r="F17" s="552"/>
      <c r="G17" s="22" t="str">
        <f>IF(HLOOKUP($B12,$W$6:$AD$35,10,FALSE)=0,"",HLOOKUP($B12,$W$6:$AD$35,10,FALSE))</f>
        <v/>
      </c>
      <c r="H17" s="23" t="str">
        <f>IF(HLOOKUP($B12,$W$6:$AD$35,15,FALSE)=0,"",HLOOKUP($B12,$W$6:$AD$35,15,FALSE))</f>
        <v/>
      </c>
      <c r="I17" s="24"/>
      <c r="J17" s="24"/>
      <c r="K17" s="24"/>
      <c r="L17" s="24"/>
      <c r="M17" s="24"/>
      <c r="N17" s="24"/>
      <c r="O17" s="25"/>
      <c r="P17" s="546"/>
      <c r="Q17" s="557"/>
      <c r="V17" s="4">
        <v>7</v>
      </c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 thickBot="1" x14ac:dyDescent="0.2">
      <c r="A18" s="533">
        <v>3</v>
      </c>
      <c r="B18" s="541">
        <f>SMALL($W$6:$AD$6,A18)</f>
        <v>1.0000006272254744</v>
      </c>
      <c r="C18" s="537" t="str">
        <f>HLOOKUP($B18,$W$6:$AD$35,2,FALSE)</f>
        <v>C</v>
      </c>
      <c r="D18" s="534">
        <f>HLOOKUP($B18,$W$6:$AD$35,3,FALSE)</f>
        <v>0</v>
      </c>
      <c r="E18" s="534">
        <f>HLOOKUP($B18,$W$6:$AD$35,4,FALSE)</f>
        <v>0</v>
      </c>
      <c r="F18" s="550">
        <f>HLOOKUP($B18,$W$6:$AD$35,5,FALSE)</f>
        <v>0</v>
      </c>
      <c r="G18" s="10" t="str">
        <f t="shared" ref="G18:O18" si="3">IF(G19="","",SUM(G19:G23))</f>
        <v/>
      </c>
      <c r="H18" s="11" t="str">
        <f t="shared" si="3"/>
        <v/>
      </c>
      <c r="I18" s="11" t="str">
        <f t="shared" si="3"/>
        <v/>
      </c>
      <c r="J18" s="11" t="str">
        <f t="shared" si="3"/>
        <v/>
      </c>
      <c r="K18" s="11" t="str">
        <f t="shared" si="3"/>
        <v/>
      </c>
      <c r="L18" s="11" t="str">
        <f t="shared" si="3"/>
        <v/>
      </c>
      <c r="M18" s="11" t="str">
        <f t="shared" si="3"/>
        <v/>
      </c>
      <c r="N18" s="11" t="str">
        <f t="shared" si="3"/>
        <v/>
      </c>
      <c r="O18" s="12" t="str">
        <f t="shared" si="3"/>
        <v/>
      </c>
      <c r="P18" s="544">
        <f>SUM(G18:O18)</f>
        <v>0</v>
      </c>
      <c r="Q18" s="555">
        <f>P12-P18</f>
        <v>0</v>
      </c>
      <c r="V18" s="4">
        <v>8</v>
      </c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 x14ac:dyDescent="0.15">
      <c r="A19" s="533"/>
      <c r="B19" s="542"/>
      <c r="C19" s="538"/>
      <c r="D19" s="553"/>
      <c r="E19" s="535"/>
      <c r="F19" s="551"/>
      <c r="G19" s="14" t="str">
        <f>IF(HLOOKUP($B18,$W$6:$AD$35,6,FALSE)=0,"",HLOOKUP($B18,$W$6:$AD$35,6,FALSE))</f>
        <v/>
      </c>
      <c r="H19" s="15" t="str">
        <f>IF(HLOOKUP($B18,$W$6:$AD$35,11,FALSE)=0,"",HLOOKUP($B18,$W$6:$AD$35,11,FALSE))</f>
        <v/>
      </c>
      <c r="I19" s="15" t="str">
        <f>IF(HLOOKUP($B18,$W$6:$AD$35,16,FALSE)=0,"",HLOOKUP($B18,$W$6:$AD$35,16,FALSE))</f>
        <v/>
      </c>
      <c r="J19" s="15" t="str">
        <f>IF(HLOOKUP($B18,$W$6:$AD$35,18,FALSE)=0,"",HLOOKUP($B18,$W$6:$AD$35,18,FALSE))</f>
        <v/>
      </c>
      <c r="K19" s="15" t="str">
        <f>IF(HLOOKUP($B18,$W$6:$AD$35,20,FALSE)=0,"",HLOOKUP($B18,$W$6:$AD$35,20,FALSE))</f>
        <v/>
      </c>
      <c r="L19" s="15" t="str">
        <f>IF(HLOOKUP($B18,$W$6:$AD$35,22,FALSE)=0,"",HLOOKUP($B18,$W$6:$AD$35,22,FALSE))</f>
        <v/>
      </c>
      <c r="M19" s="15" t="str">
        <f>IF(HLOOKUP($B18,$W$6:$AD$35,24,FALSE)=0,"",HLOOKUP($B18,$W$6:$AD$35,24,FALSE))</f>
        <v/>
      </c>
      <c r="N19" s="15" t="str">
        <f>IF(HLOOKUP($B18,$W$6:$AD$35,26,FALSE)=0,"",HLOOKUP($B18,$W$6:$AD$35,26,FALSE))</f>
        <v/>
      </c>
      <c r="O19" s="16" t="str">
        <f>IF(HLOOKUP($B18,$W$6:$AD$35,28,FALSE)=0,"",HLOOKUP($B18,$W$6:$AD$35,28,FALSE))</f>
        <v/>
      </c>
      <c r="P19" s="545"/>
      <c r="Q19" s="556"/>
      <c r="V19" s="4">
        <v>9</v>
      </c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 x14ac:dyDescent="0.15">
      <c r="A20" s="533"/>
      <c r="B20" s="542"/>
      <c r="C20" s="538"/>
      <c r="D20" s="535"/>
      <c r="E20" s="535"/>
      <c r="F20" s="551"/>
      <c r="G20" s="14" t="str">
        <f>IF(HLOOKUP($B18,$W$6:$AD$35,7,FALSE)=0,"",HLOOKUP($B18,$W$6:$AD$35,7,FALSE))</f>
        <v/>
      </c>
      <c r="H20" s="15" t="str">
        <f>IF(HLOOKUP($B18,$W$6:$AD$35,12,FALSE)=0,"",HLOOKUP($B18,$W$6:$AD$35,12,FALSE))</f>
        <v/>
      </c>
      <c r="I20" s="15" t="str">
        <f>IF(HLOOKUP($B18,$W$6:$AD$35,17,FALSE)=0,"",HLOOKUP($B18,$W$6:$AD$35,17,FALSE))</f>
        <v/>
      </c>
      <c r="J20" s="15" t="str">
        <f>IF(HLOOKUP($B18,$W$6:$AD$35,19,FALSE)=0,"",HLOOKUP($B18,$W$6:$AD$35,19,FALSE))</f>
        <v/>
      </c>
      <c r="K20" s="15" t="str">
        <f>IF(HLOOKUP($B18,$W$6:$AD$35,21,FALSE)=0,"",HLOOKUP($B18,$W$6:$AD$35,21,FALSE))</f>
        <v/>
      </c>
      <c r="L20" s="15" t="str">
        <f>IF(HLOOKUP($B18,$W$6:$AD$35,23,FALSE)=0,"",HLOOKUP($B18,$W$6:$AD$35,23,FALSE))</f>
        <v/>
      </c>
      <c r="M20" s="15" t="str">
        <f>IF(HLOOKUP($B18,$W$6:$AD$35,25,FALSE)=0,"",HLOOKUP($B18,$W$6:$AD$35,25,FALSE))</f>
        <v/>
      </c>
      <c r="N20" s="15" t="str">
        <f>IF(HLOOKUP($B18,$W$6:$AD$35,27,FALSE)=0,"",HLOOKUP($B18,$W$6:$AD$35,27,FALSE))</f>
        <v/>
      </c>
      <c r="O20" s="16" t="str">
        <f>IF(HLOOKUP($B18,$W$6:$AD$35,29,FALSE)=0,"",HLOOKUP($B18,$W$6:$AD$35,29,FALSE))</f>
        <v/>
      </c>
      <c r="P20" s="545"/>
      <c r="Q20" s="556"/>
      <c r="V20" s="4">
        <v>10</v>
      </c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 x14ac:dyDescent="0.15">
      <c r="A21" s="533"/>
      <c r="B21" s="542"/>
      <c r="C21" s="538"/>
      <c r="D21" s="535"/>
      <c r="E21" s="535"/>
      <c r="F21" s="551"/>
      <c r="G21" s="14" t="str">
        <f>IF(HLOOKUP($B18,$W$6:$AD$35,8,FALSE)=0,"",HLOOKUP($B18,$W$6:$AD$35,8,FALSE))</f>
        <v/>
      </c>
      <c r="H21" s="15" t="str">
        <f>IF(HLOOKUP($B18,$W$6:$AD$35,13,FALSE)=0,"",HLOOKUP($B18,$W$6:$AD$35,13,FALSE))</f>
        <v/>
      </c>
      <c r="I21" s="18"/>
      <c r="J21" s="18"/>
      <c r="K21" s="18"/>
      <c r="L21" s="18"/>
      <c r="M21" s="18"/>
      <c r="N21" s="18"/>
      <c r="O21" s="19"/>
      <c r="P21" s="545"/>
      <c r="Q21" s="556"/>
      <c r="V21" s="4">
        <v>11</v>
      </c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 x14ac:dyDescent="0.15">
      <c r="A22" s="533"/>
      <c r="B22" s="542"/>
      <c r="C22" s="538"/>
      <c r="D22" s="535"/>
      <c r="E22" s="535"/>
      <c r="F22" s="551"/>
      <c r="G22" s="14" t="str">
        <f>IF(HLOOKUP($B18,$W$6:$AD$35,9,FALSE)=0,"",HLOOKUP($B18,$W$6:$AD$35,9,FALSE))</f>
        <v/>
      </c>
      <c r="H22" s="15" t="str">
        <f>IF(HLOOKUP($B18,$W$6:$AD$35,14,FALSE)=0,"",HLOOKUP($B18,$W$6:$AD$35,14,FALSE))</f>
        <v/>
      </c>
      <c r="I22" s="20"/>
      <c r="J22" s="20"/>
      <c r="K22" s="20"/>
      <c r="L22" s="20"/>
      <c r="M22" s="20"/>
      <c r="N22" s="20"/>
      <c r="O22" s="21"/>
      <c r="P22" s="545"/>
      <c r="Q22" s="556"/>
      <c r="V22" s="4">
        <v>12</v>
      </c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 thickBot="1" x14ac:dyDescent="0.2">
      <c r="A23" s="533"/>
      <c r="B23" s="543"/>
      <c r="C23" s="549"/>
      <c r="D23" s="536"/>
      <c r="E23" s="536"/>
      <c r="F23" s="552"/>
      <c r="G23" s="22" t="str">
        <f>IF(HLOOKUP($B18,$W$6:$AD$35,10,FALSE)=0,"",HLOOKUP($B18,$W$6:$AD$35,10,FALSE))</f>
        <v/>
      </c>
      <c r="H23" s="23" t="str">
        <f>IF(HLOOKUP($B18,$W$6:$AD$35,15,FALSE)=0,"",HLOOKUP($B18,$W$6:$AD$35,15,FALSE))</f>
        <v/>
      </c>
      <c r="I23" s="24"/>
      <c r="J23" s="24"/>
      <c r="K23" s="24"/>
      <c r="L23" s="24"/>
      <c r="M23" s="24"/>
      <c r="N23" s="24"/>
      <c r="O23" s="25"/>
      <c r="P23" s="546"/>
      <c r="Q23" s="557"/>
      <c r="V23" s="4">
        <v>13</v>
      </c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 thickBot="1" x14ac:dyDescent="0.2">
      <c r="A24" s="533">
        <v>4</v>
      </c>
      <c r="B24" s="541">
        <f>SMALL($W$6:$AD$6,A24)</f>
        <v>1.0000008363006325</v>
      </c>
      <c r="C24" s="537" t="str">
        <f>HLOOKUP($B24,$W$6:$AD$35,2,FALSE)</f>
        <v>D</v>
      </c>
      <c r="D24" s="534">
        <f>HLOOKUP($B24,$W$6:$AD$35,3,FALSE)</f>
        <v>0</v>
      </c>
      <c r="E24" s="534">
        <f>HLOOKUP($B24,$W$6:$AD$35,4,FALSE)</f>
        <v>0</v>
      </c>
      <c r="F24" s="550">
        <f>HLOOKUP($B24,$W$6:$AD$35,5,FALSE)</f>
        <v>0</v>
      </c>
      <c r="G24" s="10" t="str">
        <f t="shared" ref="G24:O24" si="4">IF(G25="","",SUM(G25:G29))</f>
        <v/>
      </c>
      <c r="H24" s="11" t="str">
        <f t="shared" si="4"/>
        <v/>
      </c>
      <c r="I24" s="11" t="str">
        <f t="shared" si="4"/>
        <v/>
      </c>
      <c r="J24" s="11" t="str">
        <f t="shared" si="4"/>
        <v/>
      </c>
      <c r="K24" s="11" t="str">
        <f t="shared" si="4"/>
        <v/>
      </c>
      <c r="L24" s="11" t="str">
        <f t="shared" si="4"/>
        <v/>
      </c>
      <c r="M24" s="11" t="str">
        <f t="shared" si="4"/>
        <v/>
      </c>
      <c r="N24" s="11" t="str">
        <f t="shared" si="4"/>
        <v/>
      </c>
      <c r="O24" s="12" t="str">
        <f t="shared" si="4"/>
        <v/>
      </c>
      <c r="P24" s="544">
        <f>SUM(G24:O24)</f>
        <v>0</v>
      </c>
      <c r="Q24" s="555">
        <f>P18-P24</f>
        <v>0</v>
      </c>
      <c r="V24" s="4">
        <v>14</v>
      </c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 x14ac:dyDescent="0.15">
      <c r="A25" s="533"/>
      <c r="B25" s="542"/>
      <c r="C25" s="538"/>
      <c r="D25" s="535"/>
      <c r="E25" s="535"/>
      <c r="F25" s="551"/>
      <c r="G25" s="14" t="str">
        <f>IF(HLOOKUP($B24,$W$6:$AD$35,6,FALSE)=0,"",HLOOKUP($B24,$W$6:$AD$35,6,FALSE))</f>
        <v/>
      </c>
      <c r="H25" s="15" t="str">
        <f>IF(HLOOKUP($B24,$W$6:$AD$35,11,FALSE)=0,"",HLOOKUP($B24,$W$6:$AD$35,11,FALSE))</f>
        <v/>
      </c>
      <c r="I25" s="15" t="str">
        <f>IF(HLOOKUP($B24,$W$6:$AD$35,16,FALSE)=0,"",HLOOKUP($B24,$W$6:$AD$35,16,FALSE))</f>
        <v/>
      </c>
      <c r="J25" s="15" t="str">
        <f>IF(HLOOKUP($B24,$W$6:$AD$35,18,FALSE)=0,"",HLOOKUP($B24,$W$6:$AD$35,18,FALSE))</f>
        <v/>
      </c>
      <c r="K25" s="15" t="str">
        <f>IF(HLOOKUP($B24,$W$6:$AD$35,20,FALSE)=0,"",HLOOKUP($B24,$W$6:$AD$35,20,FALSE))</f>
        <v/>
      </c>
      <c r="L25" s="15" t="str">
        <f>IF(HLOOKUP($B24,$W$6:$AD$35,22,FALSE)=0,"",HLOOKUP($B24,$W$6:$AD$35,22,FALSE))</f>
        <v/>
      </c>
      <c r="M25" s="15" t="str">
        <f>IF(HLOOKUP($B24,$W$6:$AD$35,24,FALSE)=0,"",HLOOKUP($B24,$W$6:$AD$35,24,FALSE))</f>
        <v/>
      </c>
      <c r="N25" s="15" t="str">
        <f>IF(HLOOKUP($B24,$W$6:$AD$35,26,FALSE)=0,"",HLOOKUP($B24,$W$6:$AD$35,26,FALSE))</f>
        <v/>
      </c>
      <c r="O25" s="16" t="str">
        <f>IF(HLOOKUP($B24,$W$6:$AD$35,28,FALSE)=0,"",HLOOKUP($B24,$W$6:$AD$35,28,FALSE))</f>
        <v/>
      </c>
      <c r="P25" s="545"/>
      <c r="Q25" s="556"/>
      <c r="V25" s="4">
        <v>15</v>
      </c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 x14ac:dyDescent="0.15">
      <c r="A26" s="533"/>
      <c r="B26" s="542"/>
      <c r="C26" s="538"/>
      <c r="D26" s="535"/>
      <c r="E26" s="535"/>
      <c r="F26" s="551"/>
      <c r="G26" s="14" t="str">
        <f>IF(HLOOKUP($B24,$W$6:$AD$35,7,FALSE)=0,"",HLOOKUP($B24,$W$6:$AD$35,7,FALSE))</f>
        <v/>
      </c>
      <c r="H26" s="15" t="str">
        <f>IF(HLOOKUP($B24,$W$6:$AD$35,12,FALSE)=0,"",HLOOKUP($B24,$W$6:$AD$35,12,FALSE))</f>
        <v/>
      </c>
      <c r="I26" s="15" t="str">
        <f>IF(HLOOKUP($B24,$W$6:$AD$35,17,FALSE)=0,"",HLOOKUP($B24,$W$6:$AD$35,17,FALSE))</f>
        <v/>
      </c>
      <c r="J26" s="15" t="str">
        <f>IF(HLOOKUP($B24,$W$6:$AD$35,19,FALSE)=0,"",HLOOKUP($B24,$W$6:$AD$35,19,FALSE))</f>
        <v/>
      </c>
      <c r="K26" s="15" t="str">
        <f>IF(HLOOKUP($B24,$W$6:$AD$35,21,FALSE)=0,"",HLOOKUP($B24,$W$6:$AD$35,21,FALSE))</f>
        <v/>
      </c>
      <c r="L26" s="15" t="str">
        <f>IF(HLOOKUP($B24,$W$6:$AD$35,23,FALSE)=0,"",HLOOKUP($B24,$W$6:$AD$35,23,FALSE))</f>
        <v/>
      </c>
      <c r="M26" s="15" t="str">
        <f>IF(HLOOKUP($B24,$W$6:$AD$35,25,FALSE)=0,"",HLOOKUP($B24,$W$6:$AD$35,25,FALSE))</f>
        <v/>
      </c>
      <c r="N26" s="15" t="str">
        <f>IF(HLOOKUP($B24,$W$6:$AD$35,27,FALSE)=0,"",HLOOKUP($B24,$W$6:$AD$35,27,FALSE))</f>
        <v/>
      </c>
      <c r="O26" s="16" t="str">
        <f>IF(HLOOKUP($B24,$W$6:$AD$35,29,FALSE)=0,"",HLOOKUP($B24,$W$6:$AD$35,29,FALSE))</f>
        <v/>
      </c>
      <c r="P26" s="545"/>
      <c r="Q26" s="556"/>
      <c r="V26" s="4">
        <v>16</v>
      </c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 x14ac:dyDescent="0.15">
      <c r="A27" s="533"/>
      <c r="B27" s="542"/>
      <c r="C27" s="538"/>
      <c r="D27" s="535"/>
      <c r="E27" s="535"/>
      <c r="F27" s="551"/>
      <c r="G27" s="14" t="str">
        <f>IF(HLOOKUP($B24,$W$6:$AD$35,8,FALSE)=0,"",HLOOKUP($B24,$W$6:$AD$35,8,FALSE))</f>
        <v/>
      </c>
      <c r="H27" s="15" t="str">
        <f>IF(HLOOKUP($B24,$W$6:$AD$35,13,FALSE)=0,"",HLOOKUP($B24,$W$6:$AD$35,13,FALSE))</f>
        <v/>
      </c>
      <c r="I27" s="18"/>
      <c r="J27" s="18"/>
      <c r="K27" s="18"/>
      <c r="L27" s="18"/>
      <c r="M27" s="18"/>
      <c r="N27" s="18"/>
      <c r="O27" s="19"/>
      <c r="P27" s="545"/>
      <c r="Q27" s="556"/>
      <c r="V27" s="4">
        <v>17</v>
      </c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 x14ac:dyDescent="0.15">
      <c r="A28" s="533"/>
      <c r="B28" s="542"/>
      <c r="C28" s="538"/>
      <c r="D28" s="535"/>
      <c r="E28" s="535"/>
      <c r="F28" s="551"/>
      <c r="G28" s="14" t="str">
        <f>IF(HLOOKUP($B24,$W$6:$AD$35,9,FALSE)=0,"",HLOOKUP($B24,$W$6:$AD$35,9,FALSE))</f>
        <v/>
      </c>
      <c r="H28" s="15" t="str">
        <f>IF(HLOOKUP($B24,$W$6:$AD$35,14,FALSE)=0,"",HLOOKUP($B24,$W$6:$AD$35,14,FALSE))</f>
        <v/>
      </c>
      <c r="I28" s="20"/>
      <c r="J28" s="20"/>
      <c r="K28" s="20"/>
      <c r="L28" s="20"/>
      <c r="M28" s="20"/>
      <c r="N28" s="20"/>
      <c r="O28" s="21"/>
      <c r="P28" s="545"/>
      <c r="Q28" s="556"/>
      <c r="V28" s="4">
        <v>18</v>
      </c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 thickBot="1" x14ac:dyDescent="0.2">
      <c r="A29" s="533"/>
      <c r="B29" s="543"/>
      <c r="C29" s="549"/>
      <c r="D29" s="536"/>
      <c r="E29" s="536"/>
      <c r="F29" s="552"/>
      <c r="G29" s="22" t="str">
        <f>IF(HLOOKUP($B24,$W$6:$AD$35,10,FALSE)=0,"",HLOOKUP($B24,$W$6:$AD$35,10,FALSE))</f>
        <v/>
      </c>
      <c r="H29" s="23" t="str">
        <f>IF(HLOOKUP($B24,$W$6:$AD$35,15,FALSE)=0,"",HLOOKUP($B24,$W$6:$AD$35,15,FALSE))</f>
        <v/>
      </c>
      <c r="I29" s="24"/>
      <c r="J29" s="24"/>
      <c r="K29" s="24"/>
      <c r="L29" s="24"/>
      <c r="M29" s="24"/>
      <c r="N29" s="24"/>
      <c r="O29" s="25"/>
      <c r="P29" s="546"/>
      <c r="Q29" s="557"/>
      <c r="V29" s="4">
        <v>19</v>
      </c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 thickBot="1" x14ac:dyDescent="0.2">
      <c r="A30" s="533">
        <v>5</v>
      </c>
      <c r="B30" s="541">
        <f>SMALL($W$6:$AD$6,A30)</f>
        <v>1.0000010453757906</v>
      </c>
      <c r="C30" s="537" t="str">
        <f>HLOOKUP($B30,$W$6:$AD$35,2,FALSE)</f>
        <v>E</v>
      </c>
      <c r="D30" s="534">
        <f>HLOOKUP($B30,$W$6:$AD$35,3,FALSE)</f>
        <v>0</v>
      </c>
      <c r="E30" s="534">
        <f>HLOOKUP($B30,$W$6:$AD$35,4,FALSE)</f>
        <v>0</v>
      </c>
      <c r="F30" s="550">
        <f>HLOOKUP($B30,$W$6:$AD$35,5,FALSE)</f>
        <v>0</v>
      </c>
      <c r="G30" s="10" t="str">
        <f t="shared" ref="G30:O30" si="5">IF(G31="","",SUM(G31:G35))</f>
        <v/>
      </c>
      <c r="H30" s="11" t="str">
        <f t="shared" si="5"/>
        <v/>
      </c>
      <c r="I30" s="11" t="str">
        <f t="shared" si="5"/>
        <v/>
      </c>
      <c r="J30" s="11" t="str">
        <f t="shared" si="5"/>
        <v/>
      </c>
      <c r="K30" s="11" t="str">
        <f t="shared" si="5"/>
        <v/>
      </c>
      <c r="L30" s="11" t="str">
        <f t="shared" si="5"/>
        <v/>
      </c>
      <c r="M30" s="11" t="str">
        <f t="shared" si="5"/>
        <v/>
      </c>
      <c r="N30" s="11" t="str">
        <f t="shared" si="5"/>
        <v/>
      </c>
      <c r="O30" s="12" t="str">
        <f t="shared" si="5"/>
        <v/>
      </c>
      <c r="P30" s="544">
        <f>SUM(G30:O30)</f>
        <v>0</v>
      </c>
      <c r="Q30" s="555">
        <f>P24-P30</f>
        <v>0</v>
      </c>
      <c r="V30" s="4">
        <v>20</v>
      </c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 x14ac:dyDescent="0.15">
      <c r="A31" s="533"/>
      <c r="B31" s="542"/>
      <c r="C31" s="538"/>
      <c r="D31" s="535"/>
      <c r="E31" s="535"/>
      <c r="F31" s="551"/>
      <c r="G31" s="14" t="str">
        <f>IF(HLOOKUP($B30,$W$6:$AD$35,6,FALSE)=0,"",HLOOKUP($B30,$W$6:$AD$35,6,FALSE))</f>
        <v/>
      </c>
      <c r="H31" s="15" t="str">
        <f>IF(HLOOKUP($B30,$W$6:$AD$35,11,FALSE)=0,"",HLOOKUP($B30,$W$6:$AD$35,11,FALSE))</f>
        <v/>
      </c>
      <c r="I31" s="15" t="str">
        <f>IF(HLOOKUP($B30,$W$6:$AD$35,16,FALSE)=0,"",HLOOKUP($B30,$W$6:$AD$35,16,FALSE))</f>
        <v/>
      </c>
      <c r="J31" s="15" t="str">
        <f>IF(HLOOKUP($B30,$W$6:$AD$35,18,FALSE)=0,"",HLOOKUP($B30,$W$6:$AD$35,18,FALSE))</f>
        <v/>
      </c>
      <c r="K31" s="15" t="str">
        <f>IF(HLOOKUP($B30,$W$6:$AD$35,20,FALSE)=0,"",HLOOKUP($B30,$W$6:$AD$35,20,FALSE))</f>
        <v/>
      </c>
      <c r="L31" s="15" t="str">
        <f>IF(HLOOKUP($B30,$W$6:$AD$35,22,FALSE)=0,"",HLOOKUP($B30,$W$6:$AD$35,22,FALSE))</f>
        <v/>
      </c>
      <c r="M31" s="15" t="str">
        <f>IF(HLOOKUP($B30,$W$6:$AD$35,24,FALSE)=0,"",HLOOKUP($B30,$W$6:$AD$35,24,FALSE))</f>
        <v/>
      </c>
      <c r="N31" s="15" t="str">
        <f>IF(HLOOKUP($B30,$W$6:$AD$35,26,FALSE)=0,"",HLOOKUP($B30,$W$6:$AD$35,26,FALSE))</f>
        <v/>
      </c>
      <c r="O31" s="16" t="str">
        <f>IF(HLOOKUP($B30,$W$6:$AD$35,28,FALSE)=0,"",HLOOKUP($B30,$W$6:$AD$35,28,FALSE))</f>
        <v/>
      </c>
      <c r="P31" s="545"/>
      <c r="Q31" s="556"/>
      <c r="V31" s="4">
        <v>21</v>
      </c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 x14ac:dyDescent="0.15">
      <c r="A32" s="533"/>
      <c r="B32" s="542"/>
      <c r="C32" s="538"/>
      <c r="D32" s="535"/>
      <c r="E32" s="535"/>
      <c r="F32" s="551"/>
      <c r="G32" s="14" t="str">
        <f>IF(HLOOKUP($B30,$W$6:$AD$35,7,FALSE)=0,"",HLOOKUP($B30,$W$6:$AD$35,7,FALSE))</f>
        <v/>
      </c>
      <c r="H32" s="15" t="str">
        <f>IF(HLOOKUP($B30,$W$6:$AD$35,12,FALSE)=0,"",HLOOKUP($B30,$W$6:$AD$35,12,FALSE))</f>
        <v/>
      </c>
      <c r="I32" s="15" t="str">
        <f>IF(HLOOKUP($B30,$W$6:$AD$35,17,FALSE)=0,"",HLOOKUP($B30,$W$6:$AD$35,17,FALSE))</f>
        <v/>
      </c>
      <c r="J32" s="15" t="str">
        <f>IF(HLOOKUP($B30,$W$6:$AD$35,19,FALSE)=0,"",HLOOKUP($B30,$W$6:$AD$35,19,FALSE))</f>
        <v/>
      </c>
      <c r="K32" s="15" t="str">
        <f>IF(HLOOKUP($B30,$W$6:$AD$35,21,FALSE)=0,"",HLOOKUP($B30,$W$6:$AD$35,21,FALSE))</f>
        <v/>
      </c>
      <c r="L32" s="15" t="str">
        <f>IF(HLOOKUP($B30,$W$6:$AD$35,23,FALSE)=0,"",HLOOKUP($B30,$W$6:$AD$35,23,FALSE))</f>
        <v/>
      </c>
      <c r="M32" s="15" t="str">
        <f>IF(HLOOKUP($B30,$W$6:$AD$35,25,FALSE)=0,"",HLOOKUP($B30,$W$6:$AD$35,25,FALSE))</f>
        <v/>
      </c>
      <c r="N32" s="15" t="str">
        <f>IF(HLOOKUP($B30,$W$6:$AD$35,27,FALSE)=0,"",HLOOKUP($B30,$W$6:$AD$35,27,FALSE))</f>
        <v/>
      </c>
      <c r="O32" s="16" t="str">
        <f>IF(HLOOKUP($B30,$W$6:$AD$35,29,FALSE)=0,"",HLOOKUP($B30,$W$6:$AD$35,29,FALSE))</f>
        <v/>
      </c>
      <c r="P32" s="545"/>
      <c r="Q32" s="556"/>
      <c r="V32" s="4">
        <v>22</v>
      </c>
      <c r="W32" s="26"/>
      <c r="X32" s="26"/>
      <c r="Y32" s="26"/>
      <c r="Z32" s="26"/>
      <c r="AA32" s="26"/>
      <c r="AB32" s="26"/>
      <c r="AC32" s="26"/>
      <c r="AD32" s="26"/>
    </row>
    <row r="33" spans="1:30" ht="13.5" customHeight="1" x14ac:dyDescent="0.15">
      <c r="A33" s="533"/>
      <c r="B33" s="542"/>
      <c r="C33" s="538"/>
      <c r="D33" s="535"/>
      <c r="E33" s="535"/>
      <c r="F33" s="551"/>
      <c r="G33" s="14" t="str">
        <f>IF(HLOOKUP($B30,$W$6:$AD$35,8,FALSE)=0,"",HLOOKUP($B30,$W$6:$AD$35,8,FALSE))</f>
        <v/>
      </c>
      <c r="H33" s="15" t="str">
        <f>IF(HLOOKUP($B30,$W$6:$AD$35,13,FALSE)=0,"",HLOOKUP($B30,$W$6:$AD$35,13,FALSE))</f>
        <v/>
      </c>
      <c r="I33" s="18"/>
      <c r="J33" s="18"/>
      <c r="K33" s="18"/>
      <c r="L33" s="18"/>
      <c r="M33" s="18"/>
      <c r="N33" s="18"/>
      <c r="O33" s="19"/>
      <c r="P33" s="545"/>
      <c r="Q33" s="556"/>
      <c r="V33" s="4">
        <v>23</v>
      </c>
      <c r="W33" s="26"/>
      <c r="X33" s="26"/>
      <c r="Y33" s="26"/>
      <c r="Z33" s="26"/>
      <c r="AA33" s="26"/>
      <c r="AB33" s="26"/>
      <c r="AC33" s="26"/>
      <c r="AD33" s="26"/>
    </row>
    <row r="34" spans="1:30" ht="13.5" customHeight="1" x14ac:dyDescent="0.15">
      <c r="A34" s="533"/>
      <c r="B34" s="542"/>
      <c r="C34" s="538"/>
      <c r="D34" s="535"/>
      <c r="E34" s="535"/>
      <c r="F34" s="551"/>
      <c r="G34" s="14" t="str">
        <f>IF(HLOOKUP($B30,$W$6:$AD$35,9,FALSE)=0,"",HLOOKUP($B30,$W$6:$AD$35,9,FALSE))</f>
        <v/>
      </c>
      <c r="H34" s="15" t="str">
        <f>IF(HLOOKUP($B30,$W$6:$AD$35,14,FALSE)=0,"",HLOOKUP($B30,$W$6:$AD$35,14,FALSE))</f>
        <v/>
      </c>
      <c r="I34" s="20"/>
      <c r="J34" s="20"/>
      <c r="K34" s="20"/>
      <c r="L34" s="20"/>
      <c r="M34" s="20"/>
      <c r="N34" s="20"/>
      <c r="O34" s="21"/>
      <c r="P34" s="545"/>
      <c r="Q34" s="556"/>
      <c r="V34" s="4">
        <v>24</v>
      </c>
      <c r="W34" s="26"/>
      <c r="X34" s="26"/>
      <c r="Y34" s="26"/>
      <c r="Z34" s="26"/>
      <c r="AA34" s="26"/>
      <c r="AB34" s="26"/>
      <c r="AC34" s="26"/>
      <c r="AD34" s="26"/>
    </row>
    <row r="35" spans="1:30" ht="13.5" customHeight="1" thickBot="1" x14ac:dyDescent="0.2">
      <c r="A35" s="533"/>
      <c r="B35" s="543"/>
      <c r="C35" s="549"/>
      <c r="D35" s="536"/>
      <c r="E35" s="536"/>
      <c r="F35" s="552"/>
      <c r="G35" s="22" t="str">
        <f>IF(HLOOKUP($B30,$W$6:$AD$35,10,FALSE)=0,"",HLOOKUP($B30,$W$6:$AD$35,10,FALSE))</f>
        <v/>
      </c>
      <c r="H35" s="23" t="str">
        <f>IF(HLOOKUP($B30,$W$6:$AD$35,15,FALSE)=0,"",HLOOKUP($B30,$W$6:$AD$35,15,FALSE))</f>
        <v/>
      </c>
      <c r="I35" s="24"/>
      <c r="J35" s="24"/>
      <c r="K35" s="24"/>
      <c r="L35" s="24"/>
      <c r="M35" s="24"/>
      <c r="N35" s="24"/>
      <c r="O35" s="25"/>
      <c r="P35" s="546"/>
      <c r="Q35" s="557"/>
      <c r="V35" s="4" t="s">
        <v>8</v>
      </c>
      <c r="W35" s="27">
        <f>SUM(W11:W34)</f>
        <v>0</v>
      </c>
      <c r="X35" s="27">
        <f t="shared" ref="X35:AD35" si="6">SUM(X11:X34)</f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</row>
    <row r="36" spans="1:30" ht="13.5" customHeight="1" thickBot="1" x14ac:dyDescent="0.2">
      <c r="A36" s="533">
        <v>6</v>
      </c>
      <c r="B36" s="541">
        <f>SMALL($W$6:$AD$6,A36)</f>
        <v>1.0000012544509487</v>
      </c>
      <c r="C36" s="537" t="str">
        <f>HLOOKUP($B36,$W$6:$AD$35,2,FALSE)</f>
        <v>F</v>
      </c>
      <c r="D36" s="534">
        <f>HLOOKUP($B36,$W$6:$AD$35,3,FALSE)</f>
        <v>0</v>
      </c>
      <c r="E36" s="534">
        <f>HLOOKUP($B36,$W$6:$AD$35,4,FALSE)</f>
        <v>0</v>
      </c>
      <c r="F36" s="550">
        <f>HLOOKUP($B36,$W$6:$AD$35,5,FALSE)</f>
        <v>0</v>
      </c>
      <c r="G36" s="10" t="str">
        <f t="shared" ref="G36:O36" si="7">IF(G37="","",SUM(G37:G41))</f>
        <v/>
      </c>
      <c r="H36" s="11" t="str">
        <f t="shared" si="7"/>
        <v/>
      </c>
      <c r="I36" s="11" t="str">
        <f t="shared" si="7"/>
        <v/>
      </c>
      <c r="J36" s="11" t="str">
        <f t="shared" si="7"/>
        <v/>
      </c>
      <c r="K36" s="11" t="str">
        <f t="shared" si="7"/>
        <v/>
      </c>
      <c r="L36" s="11" t="str">
        <f t="shared" si="7"/>
        <v/>
      </c>
      <c r="M36" s="11" t="str">
        <f t="shared" si="7"/>
        <v/>
      </c>
      <c r="N36" s="11" t="str">
        <f t="shared" si="7"/>
        <v/>
      </c>
      <c r="O36" s="12" t="str">
        <f t="shared" si="7"/>
        <v/>
      </c>
      <c r="P36" s="544">
        <f>SUM(G36:O36)</f>
        <v>0</v>
      </c>
      <c r="Q36" s="555">
        <f>P30-P36</f>
        <v>0</v>
      </c>
    </row>
    <row r="37" spans="1:30" ht="13.5" customHeight="1" x14ac:dyDescent="0.15">
      <c r="A37" s="533"/>
      <c r="B37" s="542"/>
      <c r="C37" s="538"/>
      <c r="D37" s="535"/>
      <c r="E37" s="535"/>
      <c r="F37" s="551"/>
      <c r="G37" s="14" t="str">
        <f>IF(HLOOKUP($B36,$W$6:$AD$35,6,FALSE)=0,"",HLOOKUP($B36,$W$6:$AD$35,6,FALSE))</f>
        <v/>
      </c>
      <c r="H37" s="15" t="str">
        <f>IF(HLOOKUP($B36,$W$6:$AD$35,11,FALSE)=0,"",HLOOKUP($B36,$W$6:$AD$35,11,FALSE))</f>
        <v/>
      </c>
      <c r="I37" s="15" t="str">
        <f>IF(HLOOKUP($B36,$W$6:$AD$35,16,FALSE)=0,"",HLOOKUP($B36,$W$6:$AD$35,16,FALSE))</f>
        <v/>
      </c>
      <c r="J37" s="15" t="str">
        <f>IF(HLOOKUP($B36,$W$6:$AD$35,18,FALSE)=0,"",HLOOKUP($B36,$W$6:$AD$35,18,FALSE))</f>
        <v/>
      </c>
      <c r="K37" s="15" t="str">
        <f>IF(HLOOKUP($B36,$W$6:$AD$35,20,FALSE)=0,"",HLOOKUP($B36,$W$6:$AD$35,20,FALSE))</f>
        <v/>
      </c>
      <c r="L37" s="15" t="str">
        <f>IF(HLOOKUP($B36,$W$6:$AD$35,22,FALSE)=0,"",HLOOKUP($B36,$W$6:$AD$35,22,FALSE))</f>
        <v/>
      </c>
      <c r="M37" s="15" t="str">
        <f>IF(HLOOKUP($B36,$W$6:$AD$35,24,FALSE)=0,"",HLOOKUP($B36,$W$6:$AD$35,24,FALSE))</f>
        <v/>
      </c>
      <c r="N37" s="15" t="str">
        <f>IF(HLOOKUP($B36,$W$6:$AD$35,26,FALSE)=0,"",HLOOKUP($B36,$W$6:$AD$35,26,FALSE))</f>
        <v/>
      </c>
      <c r="O37" s="16" t="str">
        <f>IF(HLOOKUP($B36,$W$6:$AD$35,28,FALSE)=0,"",HLOOKUP($B36,$W$6:$AD$35,28,FALSE))</f>
        <v/>
      </c>
      <c r="P37" s="545"/>
      <c r="Q37" s="556"/>
    </row>
    <row r="38" spans="1:30" ht="13.5" customHeight="1" x14ac:dyDescent="0.15">
      <c r="A38" s="533"/>
      <c r="B38" s="542"/>
      <c r="C38" s="538"/>
      <c r="D38" s="535"/>
      <c r="E38" s="535"/>
      <c r="F38" s="551"/>
      <c r="G38" s="14" t="str">
        <f>IF(HLOOKUP($B36,$W$6:$AD$35,7,FALSE)=0,"",HLOOKUP($B36,$W$6:$AD$35,7,FALSE))</f>
        <v/>
      </c>
      <c r="H38" s="15" t="str">
        <f>IF(HLOOKUP($B36,$W$6:$AD$35,12,FALSE)=0,"",HLOOKUP($B36,$W$6:$AD$35,12,FALSE))</f>
        <v/>
      </c>
      <c r="I38" s="15" t="str">
        <f>IF(HLOOKUP($B36,$W$6:$AD$35,17,FALSE)=0,"",HLOOKUP($B36,$W$6:$AD$35,17,FALSE))</f>
        <v/>
      </c>
      <c r="J38" s="15" t="str">
        <f>IF(HLOOKUP($B36,$W$6:$AD$35,19,FALSE)=0,"",HLOOKUP($B36,$W$6:$AD$35,19,FALSE))</f>
        <v/>
      </c>
      <c r="K38" s="15" t="str">
        <f>IF(HLOOKUP($B36,$W$6:$AD$35,21,FALSE)=0,"",HLOOKUP($B36,$W$6:$AD$35,21,FALSE))</f>
        <v/>
      </c>
      <c r="L38" s="15" t="str">
        <f>IF(HLOOKUP($B36,$W$6:$AD$35,23,FALSE)=0,"",HLOOKUP($B36,$W$6:$AD$35,23,FALSE))</f>
        <v/>
      </c>
      <c r="M38" s="15" t="str">
        <f>IF(HLOOKUP($B36,$W$6:$AD$35,25,FALSE)=0,"",HLOOKUP($B36,$W$6:$AD$35,25,FALSE))</f>
        <v/>
      </c>
      <c r="N38" s="15" t="str">
        <f>IF(HLOOKUP($B36,$W$6:$AD$35,27,FALSE)=0,"",HLOOKUP($B36,$W$6:$AD$35,27,FALSE))</f>
        <v/>
      </c>
      <c r="O38" s="16" t="str">
        <f>IF(HLOOKUP($B36,$W$6:$AD$35,29,FALSE)=0,"",HLOOKUP($B36,$W$6:$AD$35,29,FALSE))</f>
        <v/>
      </c>
      <c r="P38" s="545"/>
      <c r="Q38" s="556"/>
    </row>
    <row r="39" spans="1:30" ht="13.5" customHeight="1" x14ac:dyDescent="0.15">
      <c r="A39" s="533"/>
      <c r="B39" s="542"/>
      <c r="C39" s="538"/>
      <c r="D39" s="535"/>
      <c r="E39" s="535"/>
      <c r="F39" s="551"/>
      <c r="G39" s="14" t="str">
        <f>IF(HLOOKUP($B36,$W$6:$AD$35,8,FALSE)=0,"",HLOOKUP($B36,$W$6:$AD$35,8,FALSE))</f>
        <v/>
      </c>
      <c r="H39" s="15" t="str">
        <f>IF(HLOOKUP($B36,$W$6:$AD$35,13,FALSE)=0,"",HLOOKUP($B36,$W$6:$AD$35,13,FALSE))</f>
        <v/>
      </c>
      <c r="I39" s="18"/>
      <c r="J39" s="18"/>
      <c r="K39" s="18"/>
      <c r="L39" s="18"/>
      <c r="M39" s="18"/>
      <c r="N39" s="18"/>
      <c r="O39" s="19"/>
      <c r="P39" s="545"/>
      <c r="Q39" s="556"/>
    </row>
    <row r="40" spans="1:30" ht="13.5" customHeight="1" x14ac:dyDescent="0.15">
      <c r="A40" s="533"/>
      <c r="B40" s="542"/>
      <c r="C40" s="538"/>
      <c r="D40" s="535"/>
      <c r="E40" s="535"/>
      <c r="F40" s="551"/>
      <c r="G40" s="14" t="str">
        <f>IF(HLOOKUP($B36,$W$6:$AD$35,9,FALSE)=0,"",HLOOKUP($B36,$W$6:$AD$35,9,FALSE))</f>
        <v/>
      </c>
      <c r="H40" s="15" t="str">
        <f>IF(HLOOKUP($B36,$W$6:$AD$35,14,FALSE)=0,"",HLOOKUP($B36,$W$6:$AD$35,14,FALSE))</f>
        <v/>
      </c>
      <c r="I40" s="20"/>
      <c r="J40" s="20"/>
      <c r="K40" s="20"/>
      <c r="L40" s="20"/>
      <c r="M40" s="20"/>
      <c r="N40" s="20"/>
      <c r="O40" s="21"/>
      <c r="P40" s="545"/>
      <c r="Q40" s="556"/>
    </row>
    <row r="41" spans="1:30" ht="13.5" customHeight="1" thickBot="1" x14ac:dyDescent="0.2">
      <c r="A41" s="533"/>
      <c r="B41" s="543"/>
      <c r="C41" s="549"/>
      <c r="D41" s="536"/>
      <c r="E41" s="536"/>
      <c r="F41" s="552"/>
      <c r="G41" s="22" t="str">
        <f>IF(HLOOKUP($B36,$W$6:$AD$35,10,FALSE)=0,"",HLOOKUP($B36,$W$6:$AD$35,10,FALSE))</f>
        <v/>
      </c>
      <c r="H41" s="23" t="str">
        <f>IF(HLOOKUP($B36,$W$6:$AD$35,15,FALSE)=0,"",HLOOKUP($B36,$W$6:$AD$35,15,FALSE))</f>
        <v/>
      </c>
      <c r="I41" s="24"/>
      <c r="J41" s="24"/>
      <c r="K41" s="24"/>
      <c r="L41" s="24"/>
      <c r="M41" s="24"/>
      <c r="N41" s="24"/>
      <c r="O41" s="25"/>
      <c r="P41" s="546"/>
      <c r="Q41" s="557"/>
    </row>
    <row r="42" spans="1:30" ht="13.5" customHeight="1" thickBot="1" x14ac:dyDescent="0.2">
      <c r="A42" s="533">
        <v>7</v>
      </c>
      <c r="B42" s="541">
        <f>SMALL($W$6:$AD$6,A42)</f>
        <v>1.000001463526107</v>
      </c>
      <c r="C42" s="537" t="str">
        <f>HLOOKUP($B42,$W$6:$AD$35,2,FALSE)</f>
        <v>G</v>
      </c>
      <c r="D42" s="534">
        <f>HLOOKUP($B42,$W$6:$AD$35,3,FALSE)</f>
        <v>0</v>
      </c>
      <c r="E42" s="534">
        <f>HLOOKUP($B42,$W$6:$AD$35,4,FALSE)</f>
        <v>0</v>
      </c>
      <c r="F42" s="550">
        <f>HLOOKUP($B42,$W$6:$AD$35,5,FALSE)</f>
        <v>0</v>
      </c>
      <c r="G42" s="10" t="str">
        <f t="shared" ref="G42:O42" si="8">IF(G43="","",SUM(G43:G47))</f>
        <v/>
      </c>
      <c r="H42" s="11" t="str">
        <f t="shared" si="8"/>
        <v/>
      </c>
      <c r="I42" s="11" t="str">
        <f t="shared" si="8"/>
        <v/>
      </c>
      <c r="J42" s="11" t="str">
        <f t="shared" si="8"/>
        <v/>
      </c>
      <c r="K42" s="11" t="str">
        <f t="shared" si="8"/>
        <v/>
      </c>
      <c r="L42" s="11" t="str">
        <f t="shared" si="8"/>
        <v/>
      </c>
      <c r="M42" s="11" t="str">
        <f t="shared" si="8"/>
        <v/>
      </c>
      <c r="N42" s="11" t="str">
        <f t="shared" si="8"/>
        <v/>
      </c>
      <c r="O42" s="12" t="str">
        <f t="shared" si="8"/>
        <v/>
      </c>
      <c r="P42" s="544">
        <f>SUM(G42:O42)</f>
        <v>0</v>
      </c>
      <c r="Q42" s="555">
        <f>P36-P42</f>
        <v>0</v>
      </c>
    </row>
    <row r="43" spans="1:30" ht="13.5" customHeight="1" x14ac:dyDescent="0.15">
      <c r="A43" s="533"/>
      <c r="B43" s="542"/>
      <c r="C43" s="538"/>
      <c r="D43" s="535"/>
      <c r="E43" s="535"/>
      <c r="F43" s="551"/>
      <c r="G43" s="14" t="str">
        <f>IF(HLOOKUP($B42,$W$6:$AD$35,6,FALSE)=0,"",HLOOKUP($B42,$W$6:$AD$35,6,FALSE))</f>
        <v/>
      </c>
      <c r="H43" s="15" t="str">
        <f>IF(HLOOKUP($B42,$W$6:$AD$35,11,FALSE)=0,"",HLOOKUP($B42,$W$6:$AD$35,11,FALSE))</f>
        <v/>
      </c>
      <c r="I43" s="15" t="str">
        <f>IF(HLOOKUP($B42,$W$6:$AD$35,16,FALSE)=0,"",HLOOKUP($B42,$W$6:$AD$35,16,FALSE))</f>
        <v/>
      </c>
      <c r="J43" s="15" t="str">
        <f>IF(HLOOKUP($B42,$W$6:$AD$35,18,FALSE)=0,"",HLOOKUP($B42,$W$6:$AD$35,18,FALSE))</f>
        <v/>
      </c>
      <c r="K43" s="15" t="str">
        <f>IF(HLOOKUP($B42,$W$6:$AD$35,20,FALSE)=0,"",HLOOKUP($B42,$W$6:$AD$35,20,FALSE))</f>
        <v/>
      </c>
      <c r="L43" s="15" t="str">
        <f>IF(HLOOKUP($B42,$W$6:$AD$35,22,FALSE)=0,"",HLOOKUP($B42,$W$6:$AD$35,22,FALSE))</f>
        <v/>
      </c>
      <c r="M43" s="15" t="str">
        <f>IF(HLOOKUP($B42,$W$6:$AD$35,24,FALSE)=0,"",HLOOKUP($B42,$W$6:$AD$35,24,FALSE))</f>
        <v/>
      </c>
      <c r="N43" s="15" t="str">
        <f>IF(HLOOKUP($B42,$W$6:$AD$35,26,FALSE)=0,"",HLOOKUP($B42,$W$6:$AD$35,26,FALSE))</f>
        <v/>
      </c>
      <c r="O43" s="16" t="str">
        <f>IF(HLOOKUP($B42,$W$6:$AD$35,28,FALSE)=0,"",HLOOKUP($B42,$W$6:$AD$35,28,FALSE))</f>
        <v/>
      </c>
      <c r="P43" s="545"/>
      <c r="Q43" s="556"/>
    </row>
    <row r="44" spans="1:30" ht="13.5" customHeight="1" x14ac:dyDescent="0.15">
      <c r="A44" s="533"/>
      <c r="B44" s="542"/>
      <c r="C44" s="538"/>
      <c r="D44" s="535"/>
      <c r="E44" s="535"/>
      <c r="F44" s="551"/>
      <c r="G44" s="14" t="str">
        <f>IF(HLOOKUP($B42,$W$6:$AD$35,7,FALSE)=0,"",HLOOKUP($B42,$W$6:$AD$35,7,FALSE))</f>
        <v/>
      </c>
      <c r="H44" s="15" t="str">
        <f>IF(HLOOKUP($B42,$W$6:$AD$35,12,FALSE)=0,"",HLOOKUP($B42,$W$6:$AD$35,12,FALSE))</f>
        <v/>
      </c>
      <c r="I44" s="15" t="str">
        <f>IF(HLOOKUP($B42,$W$6:$AD$35,17,FALSE)=0,"",HLOOKUP($B42,$W$6:$AD$35,17,FALSE))</f>
        <v/>
      </c>
      <c r="J44" s="15" t="str">
        <f>IF(HLOOKUP($B42,$W$6:$AD$35,19,FALSE)=0,"",HLOOKUP($B42,$W$6:$AD$35,19,FALSE))</f>
        <v/>
      </c>
      <c r="K44" s="15" t="str">
        <f>IF(HLOOKUP($B42,$W$6:$AD$35,21,FALSE)=0,"",HLOOKUP($B42,$W$6:$AD$35,21,FALSE))</f>
        <v/>
      </c>
      <c r="L44" s="15" t="str">
        <f>IF(HLOOKUP($B42,$W$6:$AD$35,23,FALSE)=0,"",HLOOKUP($B42,$W$6:$AD$35,23,FALSE))</f>
        <v/>
      </c>
      <c r="M44" s="15" t="str">
        <f>IF(HLOOKUP($B42,$W$6:$AD$35,25,FALSE)=0,"",HLOOKUP($B42,$W$6:$AD$35,25,FALSE))</f>
        <v/>
      </c>
      <c r="N44" s="15" t="str">
        <f>IF(HLOOKUP($B42,$W$6:$AD$35,27,FALSE)=0,"",HLOOKUP($B42,$W$6:$AD$35,27,FALSE))</f>
        <v/>
      </c>
      <c r="O44" s="16" t="str">
        <f>IF(HLOOKUP($B42,$W$6:$AD$35,29,FALSE)=0,"",HLOOKUP($B42,$W$6:$AD$35,29,FALSE))</f>
        <v/>
      </c>
      <c r="P44" s="545"/>
      <c r="Q44" s="556"/>
    </row>
    <row r="45" spans="1:30" ht="13.5" customHeight="1" x14ac:dyDescent="0.15">
      <c r="A45" s="533"/>
      <c r="B45" s="542"/>
      <c r="C45" s="538"/>
      <c r="D45" s="535"/>
      <c r="E45" s="535"/>
      <c r="F45" s="551"/>
      <c r="G45" s="14" t="str">
        <f>IF(HLOOKUP($B42,$W$6:$AD$35,8,FALSE)=0,"",HLOOKUP($B42,$W$6:$AD$35,8,FALSE))</f>
        <v/>
      </c>
      <c r="H45" s="15" t="str">
        <f>IF(HLOOKUP($B42,$W$6:$AD$35,13,FALSE)=0,"",HLOOKUP($B42,$W$6:$AD$35,13,FALSE))</f>
        <v/>
      </c>
      <c r="I45" s="18"/>
      <c r="J45" s="18"/>
      <c r="K45" s="18"/>
      <c r="L45" s="18"/>
      <c r="M45" s="18"/>
      <c r="N45" s="18"/>
      <c r="O45" s="19"/>
      <c r="P45" s="545"/>
      <c r="Q45" s="556"/>
    </row>
    <row r="46" spans="1:30" ht="13.5" customHeight="1" x14ac:dyDescent="0.15">
      <c r="A46" s="533"/>
      <c r="B46" s="542"/>
      <c r="C46" s="538"/>
      <c r="D46" s="535"/>
      <c r="E46" s="535"/>
      <c r="F46" s="551"/>
      <c r="G46" s="14" t="str">
        <f>IF(HLOOKUP($B42,$W$6:$AD$35,9,FALSE)=0,"",HLOOKUP($B42,$W$6:$AD$35,9,FALSE))</f>
        <v/>
      </c>
      <c r="H46" s="15" t="str">
        <f>IF(HLOOKUP($B42,$W$6:$AD$35,14,FALSE)=0,"",HLOOKUP($B42,$W$6:$AD$35,14,FALSE))</f>
        <v/>
      </c>
      <c r="I46" s="20"/>
      <c r="J46" s="20"/>
      <c r="K46" s="20"/>
      <c r="L46" s="20"/>
      <c r="M46" s="20"/>
      <c r="N46" s="20"/>
      <c r="O46" s="21"/>
      <c r="P46" s="545"/>
      <c r="Q46" s="556"/>
    </row>
    <row r="47" spans="1:30" ht="13.5" customHeight="1" thickBot="1" x14ac:dyDescent="0.2">
      <c r="A47" s="533"/>
      <c r="B47" s="543"/>
      <c r="C47" s="549"/>
      <c r="D47" s="536"/>
      <c r="E47" s="536"/>
      <c r="F47" s="552"/>
      <c r="G47" s="22" t="str">
        <f>IF(HLOOKUP($B42,$W$6:$AD$35,10,FALSE)=0,"",HLOOKUP($B42,$W$6:$AD$35,10,FALSE))</f>
        <v/>
      </c>
      <c r="H47" s="23" t="str">
        <f>IF(HLOOKUP($B42,$W$6:$AD$35,15,FALSE)=0,"",HLOOKUP($B42,$W$6:$AD$35,15,FALSE))</f>
        <v/>
      </c>
      <c r="I47" s="24"/>
      <c r="J47" s="24"/>
      <c r="K47" s="24"/>
      <c r="L47" s="24"/>
      <c r="M47" s="24"/>
      <c r="N47" s="24"/>
      <c r="O47" s="25"/>
      <c r="P47" s="546"/>
      <c r="Q47" s="557"/>
    </row>
    <row r="48" spans="1:30" ht="13.5" customHeight="1" thickBot="1" x14ac:dyDescent="0.2">
      <c r="A48" s="533">
        <v>8</v>
      </c>
      <c r="B48" s="541">
        <f>SMALL($W$6:$AD$6,A48)</f>
        <v>1.000001672601265</v>
      </c>
      <c r="C48" s="537" t="str">
        <f>HLOOKUP($B48,$W$6:$AD$35,2,FALSE)</f>
        <v>H</v>
      </c>
      <c r="D48" s="534">
        <f>HLOOKUP($B48,$W$6:$AD$35,3,FALSE)</f>
        <v>0</v>
      </c>
      <c r="E48" s="534">
        <f>HLOOKUP($B48,$W$6:$AD$35,4,FALSE)</f>
        <v>0</v>
      </c>
      <c r="F48" s="550">
        <f>HLOOKUP($B48,$W$6:$AD$35,5,FALSE)</f>
        <v>0</v>
      </c>
      <c r="G48" s="10" t="str">
        <f t="shared" ref="G48:O48" si="9">IF(G49="","",SUM(G49:G53))</f>
        <v/>
      </c>
      <c r="H48" s="11" t="str">
        <f t="shared" si="9"/>
        <v/>
      </c>
      <c r="I48" s="11" t="str">
        <f t="shared" si="9"/>
        <v/>
      </c>
      <c r="J48" s="11" t="str">
        <f t="shared" si="9"/>
        <v/>
      </c>
      <c r="K48" s="11" t="str">
        <f t="shared" si="9"/>
        <v/>
      </c>
      <c r="L48" s="11" t="str">
        <f t="shared" si="9"/>
        <v/>
      </c>
      <c r="M48" s="11" t="str">
        <f t="shared" si="9"/>
        <v/>
      </c>
      <c r="N48" s="11" t="str">
        <f t="shared" si="9"/>
        <v/>
      </c>
      <c r="O48" s="12" t="str">
        <f t="shared" si="9"/>
        <v/>
      </c>
      <c r="P48" s="544">
        <f>SUM(G48:O48)</f>
        <v>0</v>
      </c>
      <c r="Q48" s="555">
        <f>P42-P48</f>
        <v>0</v>
      </c>
    </row>
    <row r="49" spans="1:17" ht="13.5" customHeight="1" x14ac:dyDescent="0.15">
      <c r="A49" s="533"/>
      <c r="B49" s="542"/>
      <c r="C49" s="538"/>
      <c r="D49" s="535"/>
      <c r="E49" s="535"/>
      <c r="F49" s="551"/>
      <c r="G49" s="14" t="str">
        <f>IF(HLOOKUP($B48,$W$6:$AD$35,6,FALSE)=0,"",HLOOKUP($B48,$W$6:$AD$35,6,FALSE))</f>
        <v/>
      </c>
      <c r="H49" s="15" t="str">
        <f>IF(HLOOKUP($B48,$W$6:$AD$35,11,FALSE)=0,"",HLOOKUP($B48,$W$6:$AD$35,11,FALSE))</f>
        <v/>
      </c>
      <c r="I49" s="15" t="str">
        <f>IF(HLOOKUP($B48,$W$6:$AD$35,16,FALSE)=0,"",HLOOKUP($B48,$W$6:$AD$35,16,FALSE))</f>
        <v/>
      </c>
      <c r="J49" s="15" t="str">
        <f>IF(HLOOKUP($B48,$W$6:$AD$35,18,FALSE)=0,"",HLOOKUP($B48,$W$6:$AD$35,18,FALSE))</f>
        <v/>
      </c>
      <c r="K49" s="15" t="str">
        <f>IF(HLOOKUP($B48,$W$6:$AD$35,20,FALSE)=0,"",HLOOKUP($B48,$W$6:$AD$35,20,FALSE))</f>
        <v/>
      </c>
      <c r="L49" s="15" t="str">
        <f>IF(HLOOKUP($B48,$W$6:$AD$35,22,FALSE)=0,"",HLOOKUP($B48,$W$6:$AD$35,22,FALSE))</f>
        <v/>
      </c>
      <c r="M49" s="15" t="str">
        <f>IF(HLOOKUP($B48,$W$6:$AD$35,24,FALSE)=0,"",HLOOKUP($B48,$W$6:$AD$35,24,FALSE))</f>
        <v/>
      </c>
      <c r="N49" s="15" t="str">
        <f>IF(HLOOKUP($B48,$W$6:$AD$35,26,FALSE)=0,"",HLOOKUP($B48,$W$6:$AD$35,26,FALSE))</f>
        <v/>
      </c>
      <c r="O49" s="16" t="str">
        <f>IF(HLOOKUP($B48,$W$6:$AD$35,28,FALSE)=0,"",HLOOKUP($B48,$W$6:$AD$35,28,FALSE))</f>
        <v/>
      </c>
      <c r="P49" s="545"/>
      <c r="Q49" s="556"/>
    </row>
    <row r="50" spans="1:17" ht="13.5" customHeight="1" x14ac:dyDescent="0.15">
      <c r="A50" s="533"/>
      <c r="B50" s="542"/>
      <c r="C50" s="538"/>
      <c r="D50" s="535"/>
      <c r="E50" s="535"/>
      <c r="F50" s="551"/>
      <c r="G50" s="14" t="str">
        <f>IF(HLOOKUP($B48,$W$6:$AD$35,7,FALSE)=0,"",HLOOKUP($B48,$W$6:$AD$35,7,FALSE))</f>
        <v/>
      </c>
      <c r="H50" s="15" t="str">
        <f>IF(HLOOKUP($B48,$W$6:$AD$35,12,FALSE)=0,"",HLOOKUP($B48,$W$6:$AD$35,12,FALSE))</f>
        <v/>
      </c>
      <c r="I50" s="15" t="str">
        <f>IF(HLOOKUP($B48,$W$6:$AD$35,17,FALSE)=0,"",HLOOKUP($B48,$W$6:$AD$35,17,FALSE))</f>
        <v/>
      </c>
      <c r="J50" s="15" t="str">
        <f>IF(HLOOKUP($B48,$W$6:$AD$35,19,FALSE)=0,"",HLOOKUP($B48,$W$6:$AD$35,19,FALSE))</f>
        <v/>
      </c>
      <c r="K50" s="15" t="str">
        <f>IF(HLOOKUP($B48,$W$6:$AD$35,21,FALSE)=0,"",HLOOKUP($B48,$W$6:$AD$35,21,FALSE))</f>
        <v/>
      </c>
      <c r="L50" s="15" t="str">
        <f>IF(HLOOKUP($B48,$W$6:$AD$35,23,FALSE)=0,"",HLOOKUP($B48,$W$6:$AD$35,23,FALSE))</f>
        <v/>
      </c>
      <c r="M50" s="15" t="str">
        <f>IF(HLOOKUP($B48,$W$6:$AD$35,25,FALSE)=0,"",HLOOKUP($B48,$W$6:$AD$35,25,FALSE))</f>
        <v/>
      </c>
      <c r="N50" s="15" t="str">
        <f>IF(HLOOKUP($B48,$W$6:$AD$35,27,FALSE)=0,"",HLOOKUP($B48,$W$6:$AD$35,27,FALSE))</f>
        <v/>
      </c>
      <c r="O50" s="16" t="str">
        <f>IF(HLOOKUP($B48,$W$6:$AD$35,29,FALSE)=0,"",HLOOKUP($B48,$W$6:$AD$35,29,FALSE))</f>
        <v/>
      </c>
      <c r="P50" s="545"/>
      <c r="Q50" s="556"/>
    </row>
    <row r="51" spans="1:17" ht="13.5" customHeight="1" x14ac:dyDescent="0.15">
      <c r="A51" s="533"/>
      <c r="B51" s="542"/>
      <c r="C51" s="538"/>
      <c r="D51" s="535"/>
      <c r="E51" s="535"/>
      <c r="F51" s="551"/>
      <c r="G51" s="14" t="str">
        <f>IF(HLOOKUP($B48,$W$6:$AD$35,8,FALSE)=0,"",HLOOKUP($B48,$W$6:$AD$35,8,FALSE))</f>
        <v/>
      </c>
      <c r="H51" s="15" t="str">
        <f>IF(HLOOKUP($B48,$W$6:$AD$35,13,FALSE)=0,"",HLOOKUP($B48,$W$6:$AD$35,13,FALSE))</f>
        <v/>
      </c>
      <c r="I51" s="18"/>
      <c r="J51" s="18"/>
      <c r="K51" s="18"/>
      <c r="L51" s="18"/>
      <c r="M51" s="18"/>
      <c r="N51" s="18"/>
      <c r="O51" s="19"/>
      <c r="P51" s="545"/>
      <c r="Q51" s="556"/>
    </row>
    <row r="52" spans="1:17" ht="13.5" customHeight="1" x14ac:dyDescent="0.15">
      <c r="A52" s="533"/>
      <c r="B52" s="542"/>
      <c r="C52" s="538"/>
      <c r="D52" s="535"/>
      <c r="E52" s="535"/>
      <c r="F52" s="551"/>
      <c r="G52" s="14" t="str">
        <f>IF(HLOOKUP($B48,$W$6:$AD$35,9,FALSE)=0,"",HLOOKUP($B48,$W$6:$AD$35,9,FALSE))</f>
        <v/>
      </c>
      <c r="H52" s="15" t="str">
        <f>IF(HLOOKUP($B48,$W$6:$AD$35,14,FALSE)=0,"",HLOOKUP($B48,$W$6:$AD$35,14,FALSE))</f>
        <v/>
      </c>
      <c r="I52" s="20"/>
      <c r="J52" s="20"/>
      <c r="K52" s="20"/>
      <c r="L52" s="20"/>
      <c r="M52" s="20"/>
      <c r="N52" s="20"/>
      <c r="O52" s="21"/>
      <c r="P52" s="545"/>
      <c r="Q52" s="556"/>
    </row>
    <row r="53" spans="1:17" ht="13.5" customHeight="1" thickBot="1" x14ac:dyDescent="0.2">
      <c r="A53" s="533"/>
      <c r="B53" s="543"/>
      <c r="C53" s="539"/>
      <c r="D53" s="540"/>
      <c r="E53" s="540"/>
      <c r="F53" s="565"/>
      <c r="G53" s="22" t="str">
        <f>IF(HLOOKUP($B48,$W$6:$AD$35,10,FALSE)=0,"",HLOOKUP($B48,$W$6:$AD$35,10,FALSE))</f>
        <v/>
      </c>
      <c r="H53" s="23" t="str">
        <f>IF(HLOOKUP($B48,$W$6:$AD$35,15,FALSE)=0,"",HLOOKUP($B48,$W$6:$AD$35,15,FALSE))</f>
        <v/>
      </c>
      <c r="I53" s="24"/>
      <c r="J53" s="24"/>
      <c r="K53" s="24"/>
      <c r="L53" s="24"/>
      <c r="M53" s="24"/>
      <c r="N53" s="24"/>
      <c r="O53" s="25"/>
      <c r="P53" s="546"/>
      <c r="Q53" s="557"/>
    </row>
    <row r="54" spans="1:17" x14ac:dyDescent="0.15">
      <c r="C54" s="1"/>
    </row>
    <row r="55" spans="1:17" x14ac:dyDescent="0.15">
      <c r="C55" s="1"/>
    </row>
    <row r="56" spans="1:17" x14ac:dyDescent="0.15">
      <c r="C56" s="1"/>
    </row>
    <row r="57" spans="1:17" x14ac:dyDescent="0.15">
      <c r="C57" s="1"/>
    </row>
    <row r="58" spans="1:17" x14ac:dyDescent="0.15">
      <c r="C58" s="1"/>
    </row>
    <row r="59" spans="1:17" x14ac:dyDescent="0.15">
      <c r="C59" s="1"/>
    </row>
    <row r="60" spans="1:17" x14ac:dyDescent="0.15">
      <c r="C60" s="1"/>
    </row>
    <row r="61" spans="1:17" x14ac:dyDescent="0.15">
      <c r="C61" s="1"/>
    </row>
    <row r="62" spans="1:17" x14ac:dyDescent="0.15">
      <c r="C62" s="1"/>
    </row>
    <row r="63" spans="1:17" x14ac:dyDescent="0.15">
      <c r="C63" s="1"/>
    </row>
    <row r="64" spans="1:17" x14ac:dyDescent="0.15">
      <c r="C64" s="1"/>
    </row>
    <row r="65" spans="3:3" x14ac:dyDescent="0.15">
      <c r="C65" s="1"/>
    </row>
    <row r="66" spans="3:3" x14ac:dyDescent="0.15">
      <c r="C66" s="1"/>
    </row>
    <row r="67" spans="3:3" x14ac:dyDescent="0.15">
      <c r="C67" s="1"/>
    </row>
    <row r="68" spans="3:3" x14ac:dyDescent="0.15">
      <c r="C68" s="1"/>
    </row>
    <row r="69" spans="3:3" x14ac:dyDescent="0.15">
      <c r="C69" s="1"/>
    </row>
    <row r="70" spans="3:3" x14ac:dyDescent="0.15">
      <c r="C70" s="1"/>
    </row>
    <row r="71" spans="3:3" x14ac:dyDescent="0.15">
      <c r="C71" s="1"/>
    </row>
    <row r="72" spans="3:3" x14ac:dyDescent="0.15">
      <c r="C72" s="1"/>
    </row>
    <row r="73" spans="3:3" x14ac:dyDescent="0.15">
      <c r="C73" s="1"/>
    </row>
    <row r="74" spans="3:3" x14ac:dyDescent="0.15">
      <c r="C74" s="1"/>
    </row>
    <row r="75" spans="3:3" x14ac:dyDescent="0.15">
      <c r="C75" s="1"/>
    </row>
    <row r="76" spans="3:3" x14ac:dyDescent="0.15">
      <c r="C76" s="1"/>
    </row>
    <row r="77" spans="3:3" x14ac:dyDescent="0.15">
      <c r="C77" s="1"/>
    </row>
    <row r="78" spans="3:3" x14ac:dyDescent="0.15">
      <c r="C78" s="1"/>
    </row>
    <row r="79" spans="3:3" x14ac:dyDescent="0.15">
      <c r="C79" s="1"/>
    </row>
    <row r="80" spans="3:3" x14ac:dyDescent="0.15">
      <c r="C80" s="1"/>
    </row>
    <row r="81" spans="3:3" x14ac:dyDescent="0.15">
      <c r="C81" s="1"/>
    </row>
    <row r="82" spans="3:3" x14ac:dyDescent="0.15">
      <c r="C82" s="1"/>
    </row>
    <row r="83" spans="3:3" x14ac:dyDescent="0.15">
      <c r="C83" s="1"/>
    </row>
    <row r="84" spans="3:3" x14ac:dyDescent="0.15">
      <c r="C84" s="1"/>
    </row>
  </sheetData>
  <mergeCells count="75">
    <mergeCell ref="Q4:Q5"/>
    <mergeCell ref="A4:A5"/>
    <mergeCell ref="B4:B5"/>
    <mergeCell ref="C4:C5"/>
    <mergeCell ref="D4:D5"/>
    <mergeCell ref="E4:E5"/>
    <mergeCell ref="F4:F5"/>
    <mergeCell ref="G4:H4"/>
    <mergeCell ref="I4:O5"/>
    <mergeCell ref="P4:P5"/>
    <mergeCell ref="F6:F11"/>
    <mergeCell ref="P6:P11"/>
    <mergeCell ref="Q6:Q11"/>
    <mergeCell ref="V7:V10"/>
    <mergeCell ref="A12:A17"/>
    <mergeCell ref="B12:B17"/>
    <mergeCell ref="C12:C17"/>
    <mergeCell ref="D12:D17"/>
    <mergeCell ref="E12:E17"/>
    <mergeCell ref="F12:F17"/>
    <mergeCell ref="P12:P17"/>
    <mergeCell ref="Q12:Q17"/>
    <mergeCell ref="A6:A11"/>
    <mergeCell ref="B6:B11"/>
    <mergeCell ref="C6:C11"/>
    <mergeCell ref="D6:D11"/>
    <mergeCell ref="E6:E11"/>
    <mergeCell ref="F18:F23"/>
    <mergeCell ref="P18:P23"/>
    <mergeCell ref="Q18:Q23"/>
    <mergeCell ref="A24:A29"/>
    <mergeCell ref="B24:B29"/>
    <mergeCell ref="C24:C29"/>
    <mergeCell ref="D24:D29"/>
    <mergeCell ref="E24:E29"/>
    <mergeCell ref="F24:F29"/>
    <mergeCell ref="P24:P29"/>
    <mergeCell ref="Q24:Q29"/>
    <mergeCell ref="A18:A23"/>
    <mergeCell ref="B18:B23"/>
    <mergeCell ref="C18:C23"/>
    <mergeCell ref="D18:D23"/>
    <mergeCell ref="E18:E23"/>
    <mergeCell ref="F30:F35"/>
    <mergeCell ref="P30:P35"/>
    <mergeCell ref="Q30:Q35"/>
    <mergeCell ref="A36:A41"/>
    <mergeCell ref="B36:B41"/>
    <mergeCell ref="C36:C41"/>
    <mergeCell ref="D36:D41"/>
    <mergeCell ref="E36:E41"/>
    <mergeCell ref="F36:F41"/>
    <mergeCell ref="P36:P41"/>
    <mergeCell ref="Q36:Q41"/>
    <mergeCell ref="A30:A35"/>
    <mergeCell ref="B30:B35"/>
    <mergeCell ref="C30:C35"/>
    <mergeCell ref="D30:D35"/>
    <mergeCell ref="E30:E35"/>
    <mergeCell ref="A42:A47"/>
    <mergeCell ref="B42:B47"/>
    <mergeCell ref="C42:C47"/>
    <mergeCell ref="D42:D47"/>
    <mergeCell ref="E42:E47"/>
    <mergeCell ref="F42:F47"/>
    <mergeCell ref="P42:P47"/>
    <mergeCell ref="Q42:Q47"/>
    <mergeCell ref="P48:P53"/>
    <mergeCell ref="Q48:Q53"/>
    <mergeCell ref="F48:F53"/>
    <mergeCell ref="A48:A53"/>
    <mergeCell ref="B48:B53"/>
    <mergeCell ref="C48:C53"/>
    <mergeCell ref="D48:D53"/>
    <mergeCell ref="E48:E53"/>
  </mergeCells>
  <phoneticPr fontId="1"/>
  <conditionalFormatting sqref="G6:H48">
    <cfRule type="cellIs" dxfId="4" priority="8" stopIfTrue="1" operator="greaterThan">
      <formula>52.4</formula>
    </cfRule>
  </conditionalFormatting>
  <conditionalFormatting sqref="G7:O17">
    <cfRule type="cellIs" dxfId="3" priority="172" stopIfTrue="1" operator="greaterThan">
      <formula>10.4</formula>
    </cfRule>
  </conditionalFormatting>
  <conditionalFormatting sqref="G19:O53">
    <cfRule type="cellIs" dxfId="2" priority="10" stopIfTrue="1" operator="greaterThan">
      <formula>10.4</formula>
    </cfRule>
  </conditionalFormatting>
  <conditionalFormatting sqref="I6:O48">
    <cfRule type="cellIs" dxfId="1" priority="1" stopIfTrue="1" operator="greaterThan">
      <formula>20.9</formula>
    </cfRule>
  </conditionalFormatting>
  <printOptions horizontalCentered="1"/>
  <pageMargins left="0" right="0" top="0.78740157480314965" bottom="0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2:G2"/>
  <sheetViews>
    <sheetView workbookViewId="0">
      <selection activeCell="L28" sqref="L28"/>
    </sheetView>
  </sheetViews>
  <sheetFormatPr defaultRowHeight="13.5" x14ac:dyDescent="0.15"/>
  <sheetData>
    <row r="2" spans="3:7" x14ac:dyDescent="0.15">
      <c r="C2" t="s">
        <v>69</v>
      </c>
      <c r="E2" t="s">
        <v>30</v>
      </c>
      <c r="G2" t="s">
        <v>68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54EAFCA392174382E3959D1F322683" ma:contentTypeVersion="2" ma:contentTypeDescription="新しいドキュメントを作成します。" ma:contentTypeScope="" ma:versionID="14e874f8263eccaf8df68f0ff494020b">
  <xsd:schema xmlns:xsd="http://www.w3.org/2001/XMLSchema" xmlns:xs="http://www.w3.org/2001/XMLSchema" xmlns:p="http://schemas.microsoft.com/office/2006/metadata/properties" xmlns:ns2="ea05214a-db7b-4155-b6bb-9c7fa13a9efe" targetNamespace="http://schemas.microsoft.com/office/2006/metadata/properties" ma:root="true" ma:fieldsID="f521d54092720cc57323a7eaddcf0b82" ns2:_="">
    <xsd:import namespace="ea05214a-db7b-4155-b6bb-9c7fa13a9e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5214a-db7b-4155-b6bb-9c7fa13a9e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09DC59-5A2B-4AC1-97DF-9A6FD15A030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a05214a-db7b-4155-b6bb-9c7fa13a9ef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E5C9B3-877E-4174-9B85-8AC912E761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EE02DB-F670-43C0-828D-8143D8D5FBA1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概要</vt:lpstr>
      <vt:lpstr>表紙</vt:lpstr>
      <vt:lpstr>日程</vt:lpstr>
      <vt:lpstr>AR予選</vt:lpstr>
      <vt:lpstr>AP予選 </vt:lpstr>
      <vt:lpstr>BR予選</vt:lpstr>
      <vt:lpstr>BP予選</vt:lpstr>
      <vt:lpstr>団体戦</vt:lpstr>
      <vt:lpstr>新聞社報告</vt:lpstr>
      <vt:lpstr>学校対抗</vt:lpstr>
      <vt:lpstr>決勝_男子</vt:lpstr>
      <vt:lpstr>決勝_女子</vt:lpstr>
      <vt:lpstr>補助員</vt:lpstr>
      <vt:lpstr>'AP予選 '!Print_Area</vt:lpstr>
      <vt:lpstr>AR予選!Print_Area</vt:lpstr>
      <vt:lpstr>BP予選!Print_Area</vt:lpstr>
      <vt:lpstr>BR予選!Print_Area</vt:lpstr>
      <vt:lpstr>概要!Print_Area</vt:lpstr>
      <vt:lpstr>学校対抗!Print_Area</vt:lpstr>
      <vt:lpstr>決勝_女子!Print_Area</vt:lpstr>
      <vt:lpstr>決勝_男子!Print_Area</vt:lpstr>
      <vt:lpstr>新聞社報告!Print_Area</vt:lpstr>
      <vt:lpstr>団体戦!Print_Area</vt:lpstr>
      <vt:lpstr>日程!Print_Area</vt:lpstr>
      <vt:lpstr>表紙!Print_Area</vt:lpstr>
      <vt:lpstr>BR予選!Print_Titles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石徹白 悠平</cp:lastModifiedBy>
  <cp:lastPrinted>2026-10-17T03:21:34Z</cp:lastPrinted>
  <dcterms:created xsi:type="dcterms:W3CDTF">2003-10-20T10:00:48Z</dcterms:created>
  <dcterms:modified xsi:type="dcterms:W3CDTF">2026-10-19T02:53:47Z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3F521CF4">
    <vt:lpwstr/>
  </property>
  <property fmtid="{D5CDD505-2E9C-101B-9397-08002B2CF9AE}" pid="3" name="IVID3890390F">
    <vt:lpwstr/>
  </property>
  <property fmtid="{D5CDD505-2E9C-101B-9397-08002B2CF9AE}" pid="4" name="IVID300108D3">
    <vt:lpwstr/>
  </property>
  <property fmtid="{D5CDD505-2E9C-101B-9397-08002B2CF9AE}" pid="5" name="IVID12570FED">
    <vt:lpwstr/>
  </property>
  <property fmtid="{D5CDD505-2E9C-101B-9397-08002B2CF9AE}" pid="6" name="IVID27401302">
    <vt:lpwstr/>
  </property>
  <property fmtid="{D5CDD505-2E9C-101B-9397-08002B2CF9AE}" pid="7" name="IVID3741603">
    <vt:lpwstr/>
  </property>
  <property fmtid="{D5CDD505-2E9C-101B-9397-08002B2CF9AE}" pid="8" name="IVIDA1C15F8">
    <vt:lpwstr/>
  </property>
  <property fmtid="{D5CDD505-2E9C-101B-9397-08002B2CF9AE}" pid="9" name="IVID19671DD2">
    <vt:lpwstr/>
  </property>
  <property fmtid="{D5CDD505-2E9C-101B-9397-08002B2CF9AE}" pid="10" name="IVID347C4E03">
    <vt:lpwstr/>
  </property>
  <property fmtid="{D5CDD505-2E9C-101B-9397-08002B2CF9AE}" pid="11" name="IVID202A09E8">
    <vt:lpwstr/>
  </property>
  <property fmtid="{D5CDD505-2E9C-101B-9397-08002B2CF9AE}" pid="12" name="IVID14061907">
    <vt:lpwstr/>
  </property>
  <property fmtid="{D5CDD505-2E9C-101B-9397-08002B2CF9AE}" pid="13" name="IVID3F1513D2">
    <vt:lpwstr/>
  </property>
  <property fmtid="{D5CDD505-2E9C-101B-9397-08002B2CF9AE}" pid="14" name="IVIDE3E11EA">
    <vt:lpwstr/>
  </property>
  <property fmtid="{D5CDD505-2E9C-101B-9397-08002B2CF9AE}" pid="15" name="IVID26571901">
    <vt:lpwstr/>
  </property>
  <property fmtid="{D5CDD505-2E9C-101B-9397-08002B2CF9AE}" pid="16" name="IVID2C6E1BE7">
    <vt:lpwstr/>
  </property>
  <property fmtid="{D5CDD505-2E9C-101B-9397-08002B2CF9AE}" pid="17" name="IVID2D3A14F7">
    <vt:lpwstr/>
  </property>
  <property fmtid="{D5CDD505-2E9C-101B-9397-08002B2CF9AE}" pid="18" name="IVID312914FB">
    <vt:lpwstr/>
  </property>
  <property fmtid="{D5CDD505-2E9C-101B-9397-08002B2CF9AE}" pid="19" name="IVID3D4D1504">
    <vt:lpwstr/>
  </property>
  <property fmtid="{D5CDD505-2E9C-101B-9397-08002B2CF9AE}" pid="20" name="IVID141416D6">
    <vt:lpwstr/>
  </property>
  <property fmtid="{D5CDD505-2E9C-101B-9397-08002B2CF9AE}" pid="21" name="MSIP_Label_624c30c7-6183-4bbf-8f5a-0619846ff2e2_Enabled">
    <vt:lpwstr>true</vt:lpwstr>
  </property>
  <property fmtid="{D5CDD505-2E9C-101B-9397-08002B2CF9AE}" pid="22" name="MSIP_Label_624c30c7-6183-4bbf-8f5a-0619846ff2e2_SetDate">
    <vt:lpwstr>2023-03-27T01:50:35Z</vt:lpwstr>
  </property>
  <property fmtid="{D5CDD505-2E9C-101B-9397-08002B2CF9AE}" pid="23" name="MSIP_Label_624c30c7-6183-4bbf-8f5a-0619846ff2e2_Method">
    <vt:lpwstr>Standard</vt:lpwstr>
  </property>
  <property fmtid="{D5CDD505-2E9C-101B-9397-08002B2CF9AE}" pid="24" name="MSIP_Label_624c30c7-6183-4bbf-8f5a-0619846ff2e2_Name">
    <vt:lpwstr>組織外公開</vt:lpwstr>
  </property>
  <property fmtid="{D5CDD505-2E9C-101B-9397-08002B2CF9AE}" pid="25" name="MSIP_Label_624c30c7-6183-4bbf-8f5a-0619846ff2e2_SiteId">
    <vt:lpwstr>2c12496b-3cf3-4d5b-b8fe-9b6a510058d9</vt:lpwstr>
  </property>
  <property fmtid="{D5CDD505-2E9C-101B-9397-08002B2CF9AE}" pid="26" name="MSIP_Label_624c30c7-6183-4bbf-8f5a-0619846ff2e2_ActionId">
    <vt:lpwstr>88acc9d8-ccac-481e-bc10-deb312a849ad</vt:lpwstr>
  </property>
  <property fmtid="{D5CDD505-2E9C-101B-9397-08002B2CF9AE}" pid="27" name="MSIP_Label_624c30c7-6183-4bbf-8f5a-0619846ff2e2_ContentBits">
    <vt:lpwstr>0</vt:lpwstr>
  </property>
</Properties>
</file>